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20" windowHeight="8010" activeTab="1"/>
  </bookViews>
  <sheets>
    <sheet name="REVISIONS" sheetId="4" r:id="rId1"/>
    <sheet name="DESIGN 43, 77 &amp; 61" sheetId="1" r:id="rId2"/>
    <sheet name="PTFE WIRES" sheetId="3" r:id="rId3"/>
    <sheet name="TUBING PTFE" sheetId="2" r:id="rId4"/>
    <sheet name="NOTA" sheetId="5" r:id="rId5"/>
  </sheets>
  <definedNames>
    <definedName name="_xlnm.Print_Area" localSheetId="1">'DESIGN 43, 77 &amp; 61'!$A$1:$H$60</definedName>
    <definedName name="_xlnm.Print_Area" localSheetId="2">'PTFE WIRES'!$A$1:$H$44</definedName>
    <definedName name="_xlnm.Print_Area" localSheetId="3">'TUBING PTFE'!$A$1:$J$58</definedName>
  </definedNames>
  <calcPr calcId="145621"/>
</workbook>
</file>

<file path=xl/calcChain.xml><?xml version="1.0" encoding="utf-8"?>
<calcChain xmlns="http://schemas.openxmlformats.org/spreadsheetml/2006/main">
  <c r="C16" i="1" l="1"/>
  <c r="C19" i="1" s="1"/>
  <c r="C13" i="1"/>
  <c r="C12" i="1"/>
  <c r="C11" i="1"/>
  <c r="C17" i="1" s="1"/>
  <c r="C18" i="1" s="1"/>
  <c r="C10" i="1"/>
  <c r="H51" i="1" s="1"/>
  <c r="H52" i="1" s="1"/>
  <c r="C21" i="1" l="1"/>
  <c r="C22" i="1"/>
  <c r="C20" i="1"/>
  <c r="C28" i="1"/>
  <c r="C29" i="1" s="1"/>
  <c r="C40" i="1"/>
  <c r="C41" i="1" s="1"/>
  <c r="C51" i="1"/>
  <c r="C52" i="1" s="1"/>
  <c r="D28" i="1"/>
  <c r="D29" i="1" s="1"/>
  <c r="E28" i="1"/>
  <c r="E29" i="1" s="1"/>
  <c r="E40" i="1"/>
  <c r="E41" i="1" s="1"/>
  <c r="E51" i="1"/>
  <c r="E52" i="1" s="1"/>
  <c r="H40" i="1"/>
  <c r="H41" i="1" s="1"/>
  <c r="D40" i="1"/>
  <c r="D41" i="1" s="1"/>
  <c r="D51" i="1"/>
  <c r="D52" i="1" s="1"/>
  <c r="H28" i="1"/>
  <c r="H29" i="1" s="1"/>
  <c r="F28" i="1"/>
  <c r="F29" i="1" s="1"/>
  <c r="F40" i="1"/>
  <c r="F41" i="1" s="1"/>
  <c r="F51" i="1"/>
  <c r="F52" i="1" s="1"/>
  <c r="H42" i="1" l="1"/>
  <c r="F53" i="1"/>
  <c r="F30" i="1"/>
  <c r="F42" i="1"/>
  <c r="C42" i="1"/>
  <c r="D53" i="1"/>
  <c r="D30" i="1"/>
  <c r="D42" i="1"/>
  <c r="E30" i="1"/>
  <c r="E42" i="1"/>
  <c r="H30" i="1"/>
  <c r="C53" i="1"/>
  <c r="C30" i="1"/>
  <c r="H53" i="1"/>
  <c r="E53" i="1"/>
  <c r="D55" i="1"/>
  <c r="D32" i="1"/>
  <c r="D44" i="1"/>
  <c r="H44" i="1"/>
  <c r="F55" i="1"/>
  <c r="F32" i="1"/>
  <c r="F44" i="1"/>
  <c r="H55" i="1"/>
  <c r="C55" i="1"/>
  <c r="C32" i="1"/>
  <c r="C44" i="1"/>
  <c r="E55" i="1"/>
  <c r="E32" i="1"/>
  <c r="E44" i="1"/>
  <c r="H32" i="1"/>
  <c r="H31" i="1"/>
  <c r="C54" i="1"/>
  <c r="C31" i="1"/>
  <c r="C43" i="1"/>
  <c r="E54" i="1"/>
  <c r="E31" i="1"/>
  <c r="H43" i="1"/>
  <c r="F54" i="1"/>
  <c r="F31" i="1"/>
  <c r="H54" i="1"/>
  <c r="D54" i="1"/>
  <c r="D31" i="1"/>
  <c r="D43" i="1"/>
  <c r="E43" i="1"/>
  <c r="F43" i="1"/>
</calcChain>
</file>

<file path=xl/sharedStrings.xml><?xml version="1.0" encoding="utf-8"?>
<sst xmlns="http://schemas.openxmlformats.org/spreadsheetml/2006/main" count="196" uniqueCount="134">
  <si>
    <t>Volts</t>
  </si>
  <si>
    <t>MHz</t>
  </si>
  <si>
    <t>Gauss</t>
  </si>
  <si>
    <t>Section</t>
  </si>
  <si>
    <t>FT240-43</t>
  </si>
  <si>
    <t>FT140-43</t>
  </si>
  <si>
    <t>FT114-43</t>
  </si>
  <si>
    <t>Tores</t>
  </si>
  <si>
    <t>FT114-61</t>
  </si>
  <si>
    <t>FT140-61</t>
  </si>
  <si>
    <t>FT240-61</t>
  </si>
  <si>
    <t>Watts</t>
  </si>
  <si>
    <t>Ohms</t>
  </si>
  <si>
    <t>Secondary TOTAL turns number</t>
  </si>
  <si>
    <t>Toroids</t>
  </si>
  <si>
    <t>Section d'un tore</t>
  </si>
  <si>
    <t>Primary impedance</t>
  </si>
  <si>
    <t>Primary turns number</t>
  </si>
  <si>
    <t>Transfer ratio</t>
  </si>
  <si>
    <t>Rapport de transformation</t>
  </si>
  <si>
    <t>Nb de tours primaire</t>
  </si>
  <si>
    <t>Ratio secondary impedance / load impedance</t>
  </si>
  <si>
    <t>FT82-43</t>
  </si>
  <si>
    <t>FT82-61</t>
  </si>
  <si>
    <t>Peak RF voltage at primary (1/1 SWR)</t>
  </si>
  <si>
    <t>Tension HF crête au primaire (TOS 1/1)</t>
  </si>
  <si>
    <t>Peak RF voltage at primary (3/1 SWR)</t>
  </si>
  <si>
    <t>Tension HF crête au primaire (TOS 3/1)</t>
  </si>
  <si>
    <t>Peak RF voltage at primary (10/1 SWR)</t>
  </si>
  <si>
    <t>Tension HF crête au primaire (TOS 10/1)</t>
  </si>
  <si>
    <t>Tension crête HF au secondaire (TOS 1/1)</t>
  </si>
  <si>
    <t>Tension crête HF au secondaire (TOS 3/1)</t>
  </si>
  <si>
    <t>Tension crête HF au secondaire (TOS 10/1)</t>
  </si>
  <si>
    <t>Secondary peak RF voltage (SWR 1/1)</t>
  </si>
  <si>
    <t>Secondary peak RF voltage (SWR 3/1)</t>
  </si>
  <si>
    <t>Secondary peak RF voltage (SWR 10/1)</t>
  </si>
  <si>
    <t>Impédance de charge secondaire</t>
  </si>
  <si>
    <t>Nb de tores empilés (total pour les 2 côtés)</t>
  </si>
  <si>
    <t>NB of stacked toroids (total both sides)</t>
  </si>
  <si>
    <t>Best results: Red on yellow</t>
  </si>
  <si>
    <t>Meilleurs résultats: Rouge sur fond jaune</t>
  </si>
  <si>
    <t>Résultats (passables) admissibles: Noir sur fond orange</t>
  </si>
  <si>
    <t>Non acceptable results: Black on red</t>
  </si>
  <si>
    <t>Résultats non acceptables: Noir sur fond rouge</t>
  </si>
  <si>
    <t>UNE CAPACITE DE COMPENSATION EN PARALLELLE SUR LE PRIMAIRE (TENSION ADAPTEE) PEUT ETRE PARFOIS  NECESSAIRE POUR AMELIORER LE TOS DANS LA BANDE PASSANTE</t>
  </si>
  <si>
    <t>http://f1frv.free.fr</t>
  </si>
  <si>
    <t>f1frv@sfr.fr</t>
  </si>
  <si>
    <t>!!! INSULATION / ISOLATION</t>
  </si>
  <si>
    <t>1 toroid cross sectional area</t>
  </si>
  <si>
    <t>Minimum frequency of use</t>
  </si>
  <si>
    <t>Nb TOTAL de tours secondaire</t>
  </si>
  <si>
    <t>Load secondary impedance</t>
  </si>
  <si>
    <t>cm2</t>
  </si>
  <si>
    <t>nH/sp2</t>
  </si>
  <si>
    <t>Replace rev2  may 2009</t>
  </si>
  <si>
    <t>Acc. to ISO 9000  HI ...</t>
  </si>
  <si>
    <t>Admissible (not the best) results: Black on orange</t>
  </si>
  <si>
    <r>
      <t xml:space="preserve">1 toroid </t>
    </r>
    <r>
      <rPr>
        <b/>
        <sz val="11"/>
        <color indexed="10"/>
        <rFont val="Calibri"/>
        <family val="2"/>
      </rPr>
      <t>nominal (+/-20%</t>
    </r>
    <r>
      <rPr>
        <b/>
        <i/>
        <sz val="11"/>
        <color indexed="10"/>
        <rFont val="Calibri"/>
      </rPr>
      <t>)</t>
    </r>
    <r>
      <rPr>
        <sz val="11"/>
        <color theme="1"/>
        <rFont val="Calibri"/>
        <family val="2"/>
        <scheme val="minor"/>
      </rPr>
      <t xml:space="preserve"> specific inductance (Al)</t>
    </r>
  </si>
  <si>
    <r>
      <t xml:space="preserve">Inductance specifique (Al) </t>
    </r>
    <r>
      <rPr>
        <b/>
        <sz val="11"/>
        <color indexed="10"/>
        <rFont val="Calibri"/>
        <family val="2"/>
      </rPr>
      <t>nominale (+/-20%)</t>
    </r>
    <r>
      <rPr>
        <sz val="11"/>
        <color theme="1"/>
        <rFont val="Calibri"/>
        <family val="2"/>
        <scheme val="minor"/>
      </rPr>
      <t xml:space="preserve"> d'un tore</t>
    </r>
  </si>
  <si>
    <t>FT82-77</t>
  </si>
  <si>
    <t>FT114-77</t>
  </si>
  <si>
    <t>FT140-77</t>
  </si>
  <si>
    <t>FT240-77</t>
  </si>
  <si>
    <t>TOROIDS SUPPLIERS / FOURNISSEURS DE TORES</t>
  </si>
  <si>
    <t>http://partsandkits.com/toroids.php</t>
  </si>
  <si>
    <t>https://www.amidoncorp.com/categories/7</t>
  </si>
  <si>
    <t>http://www.cwsbytemark.com/index.php?main_page=index&amp;cPath=206_221</t>
  </si>
  <si>
    <t>TOROIDS DATA / DONNEES DES TORES</t>
  </si>
  <si>
    <t>http://www.fair-rite.com/newfair/catalog.htm</t>
  </si>
  <si>
    <t>A COMPENSATION CAPACITOR IN PARALLEL TO PRIMARY COIL (WORKING VOLTAGE ADAPTED) IS SOMETIME REQUIRED TO IMPROVE SWR ACROSS BANDWIDTH</t>
  </si>
  <si>
    <t>mm</t>
  </si>
  <si>
    <t>PTFE SPAGHETTIS TEFLON</t>
  </si>
  <si>
    <t>mm2</t>
  </si>
  <si>
    <t>Input data: Black on blue</t>
  </si>
  <si>
    <t>Données d'entrée: Noir sur fond bleu</t>
  </si>
  <si>
    <r>
      <t>Maximum</t>
    </r>
    <r>
      <rPr>
        <sz val="11"/>
        <color theme="1"/>
        <rFont val="Calibri"/>
        <family val="2"/>
        <scheme val="minor"/>
      </rPr>
      <t xml:space="preserve"> flux density for material 77</t>
    </r>
  </si>
  <si>
    <r>
      <t xml:space="preserve">Flux </t>
    </r>
    <r>
      <rPr>
        <b/>
        <sz val="11"/>
        <color indexed="10"/>
        <rFont val="Calibri"/>
        <family val="2"/>
      </rPr>
      <t>maximum</t>
    </r>
    <r>
      <rPr>
        <sz val="11"/>
        <rFont val="Calibri"/>
        <family val="2"/>
      </rPr>
      <t xml:space="preserve"> pour materiau 77</t>
    </r>
  </si>
  <si>
    <r>
      <t>Maximum</t>
    </r>
    <r>
      <rPr>
        <sz val="11"/>
        <color theme="1"/>
        <rFont val="Calibri"/>
        <family val="2"/>
        <scheme val="minor"/>
      </rPr>
      <t xml:space="preserve"> flux density for material 43</t>
    </r>
  </si>
  <si>
    <r>
      <t xml:space="preserve">Flux </t>
    </r>
    <r>
      <rPr>
        <b/>
        <sz val="11"/>
        <color indexed="10"/>
        <rFont val="Calibri"/>
        <family val="2"/>
      </rPr>
      <t>maximum</t>
    </r>
    <r>
      <rPr>
        <sz val="11"/>
        <rFont val="Calibri"/>
        <family val="2"/>
      </rPr>
      <t xml:space="preserve"> pour materiau 43</t>
    </r>
  </si>
  <si>
    <r>
      <t>Maximum</t>
    </r>
    <r>
      <rPr>
        <sz val="11"/>
        <color theme="1"/>
        <rFont val="Calibri"/>
        <family val="2"/>
        <scheme val="minor"/>
      </rPr>
      <t xml:space="preserve"> flux density for material 61</t>
    </r>
  </si>
  <si>
    <r>
      <t xml:space="preserve">Flux </t>
    </r>
    <r>
      <rPr>
        <b/>
        <sz val="11"/>
        <color indexed="10"/>
        <rFont val="Calibri"/>
        <family val="2"/>
      </rPr>
      <t>maximum</t>
    </r>
    <r>
      <rPr>
        <sz val="11"/>
        <rFont val="Calibri"/>
        <family val="2"/>
      </rPr>
      <t xml:space="preserve"> pour materiau 61</t>
    </r>
  </si>
  <si>
    <t>Fréquence minimale de service</t>
  </si>
  <si>
    <t>Impédance primaire</t>
  </si>
  <si>
    <t>RF Power (PEP)</t>
  </si>
  <si>
    <t>Puissance HF (crête)</t>
  </si>
  <si>
    <t>RF TRANSFORMERS, BALUNS AND UNUNS CALCULATIONS   1,5 - 30 (50) MHz</t>
  </si>
  <si>
    <t>CALCUL DES TRANSFORMATEURS HF, BALUNS ET UNUNS   1,5 - 30 (50) MHz</t>
  </si>
  <si>
    <t>SEE OTHER SIMILAR DOCS IN DOWNLOADABLE DOCUMENTS  VOIR AUTRES DOCS SIMILAIRES DANS LES DOCUMENTS A TELECHARGER</t>
  </si>
  <si>
    <t>Coper cross sectional area @ 3,3 Amp / mm2</t>
  </si>
  <si>
    <t>Section du cuivre @ 3,3 Amperes / mm2</t>
  </si>
  <si>
    <t>Rapport impédance secondaire / impédance charge</t>
  </si>
  <si>
    <t>Bare coper diameter (solid wire), without insulation</t>
  </si>
  <si>
    <t>Diamètre du cuivre nu (monobrin), sans isolation</t>
  </si>
  <si>
    <t>Fréquence maximale de service</t>
  </si>
  <si>
    <t>61 MATERIAL IS A GOOD CHOICE FOR HIGH BANDS (LOW VHF, LAND &amp; MOBILE).               LE MATERIAU 61 EST UN BON CHOIX POUR LES BANDES HAUTES (24-60 MHz).</t>
  </si>
  <si>
    <t>by F1FRV</t>
  </si>
  <si>
    <t>/   1</t>
  </si>
  <si>
    <t>Flux density @ SWR 1/1 (To be limited to 90% of max.)</t>
  </si>
  <si>
    <t>Flux @ TOS 1/1 (A limiter à 90% du max.)</t>
  </si>
  <si>
    <t>Flux density @ SWR 3/1 (To be limited to 90% of max.)</t>
  </si>
  <si>
    <t>Flux @ TOS 3/1 (A limiter à 90% du max.)</t>
  </si>
  <si>
    <t>Flux density @ SWR 10/1 (To be limited to 90% of max.)</t>
  </si>
  <si>
    <t>Flux @ TOS 10/1 (A limiter à 90% du max.)</t>
  </si>
  <si>
    <t>Impédance moyenne du bobinage secondaire</t>
  </si>
  <si>
    <t>Secondary coil mean impedance</t>
  </si>
  <si>
    <t>Maximum frequency of use</t>
  </si>
  <si>
    <t>Minimum freq is still used for flux calculation.</t>
  </si>
  <si>
    <t>February 04, 2011</t>
  </si>
  <si>
    <t>Design frequency for mean impedance (Fmin + 11% of BW)</t>
  </si>
  <si>
    <t>Frequence de calcul pour impedance moyenne (Fmin + 11% of BW)</t>
  </si>
  <si>
    <t>Corrected error in all peak voltage calculation, were 1,414 time too high</t>
  </si>
  <si>
    <r>
      <t xml:space="preserve">Created "mean" frequency for inductance calculations. </t>
    </r>
    <r>
      <rPr>
        <b/>
        <sz val="11"/>
        <color indexed="8"/>
        <rFont val="Calibri"/>
        <family val="2"/>
      </rPr>
      <t>Formula is: Fminimum +  11% of Bandwidth</t>
    </r>
  </si>
  <si>
    <t>February 05, 2011</t>
  </si>
  <si>
    <t>BN-43-7051</t>
  </si>
  <si>
    <t>BN-43-202</t>
  </si>
  <si>
    <t>BN-43-3312</t>
  </si>
  <si>
    <t>Rev 2b2</t>
  </si>
  <si>
    <t>Rev 2b1</t>
  </si>
  <si>
    <t>Rev 2b</t>
  </si>
  <si>
    <t>April 26, 2011</t>
  </si>
  <si>
    <t>Added BN-43-xxxx binoculars</t>
  </si>
  <si>
    <t>HOLES ARE SMALL, FOR SMALL WIRES ONLY</t>
  </si>
  <si>
    <t>&gt;&gt; NOT APPLICABLE FOR HIGH POWER !!!</t>
  </si>
  <si>
    <t>BE CAREFUL WITH BN-43-xxxx BINOCULARS.</t>
  </si>
  <si>
    <t>EVEN IF RESULTS ARE NOT IN RED !!!</t>
  </si>
  <si>
    <r>
      <t xml:space="preserve">MEAN COIL IMPEDANCE SHOULD BE IDEALY ~2,8 TIMES SECONDARY LOAD (ANTENNA) IMPEDANCE. </t>
    </r>
    <r>
      <rPr>
        <b/>
        <sz val="11"/>
        <color indexed="10"/>
        <rFont val="Calibri"/>
        <family val="2"/>
      </rPr>
      <t>ACCEPTABLE PERFORMANCES FROM 1,5 TO ~6 TIMES.</t>
    </r>
  </si>
  <si>
    <r>
      <t xml:space="preserve">L'IMPEDANCE MOYENNE DU BOBINAGE DOIT ETRE IDEALEMENT ~2,8 FOIS L'IMPEDANCE DE LA CHARGE SECONDAIRE (ANTENNE). </t>
    </r>
    <r>
      <rPr>
        <b/>
        <sz val="11"/>
        <color indexed="10"/>
        <rFont val="Calibri"/>
        <family val="2"/>
      </rPr>
      <t>PERFORMANCES ACCEPTABLES DE 1,5 A ~6 FOIS.</t>
    </r>
  </si>
  <si>
    <t>Modified info about acceptables impedance ratios</t>
  </si>
  <si>
    <t>July 17, 2011</t>
  </si>
  <si>
    <t>Rev 2b3</t>
  </si>
  <si>
    <t>Rev 2b4</t>
  </si>
  <si>
    <t>Added possibility for BN-43 of more than 1 binocular</t>
  </si>
  <si>
    <t>May / Mai 2013   rev 2b4</t>
  </si>
  <si>
    <t>May 1st,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</si>
</sst>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i/>
      <sz val="11"/>
      <color indexed="10"/>
      <name val="Calibri"/>
    </font>
    <font>
      <sz val="8"/>
      <name val="Calibri"/>
      <family val="2"/>
    </font>
    <font>
      <b/>
      <sz val="11"/>
      <color indexed="10"/>
      <name val="Calibri"/>
    </font>
    <font>
      <b/>
      <sz val="11"/>
      <name val="Calibri"/>
      <family val="2"/>
    </font>
    <font>
      <b/>
      <sz val="11"/>
      <color indexed="18"/>
      <name val="Calibri"/>
      <family val="2"/>
    </font>
    <font>
      <b/>
      <sz val="10"/>
      <color indexed="8"/>
      <name val="Calibri"/>
      <family val="2"/>
    </font>
    <font>
      <b/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11"/>
      <color indexed="17"/>
      <name val="Calibri"/>
      <family val="2"/>
    </font>
    <font>
      <sz val="11"/>
      <color indexed="12"/>
      <name val="Calibri"/>
      <family val="2"/>
    </font>
    <font>
      <b/>
      <sz val="11"/>
      <color indexed="14"/>
      <name val="Calibri"/>
      <family val="2"/>
    </font>
    <font>
      <sz val="11"/>
      <color indexed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1" fontId="3" fillId="3" borderId="0" xfId="0" applyNumberFormat="1" applyFont="1" applyFill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1" xfId="0" applyBorder="1" applyProtection="1"/>
    <xf numFmtId="0" fontId="3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3" fillId="3" borderId="0" xfId="0" applyFont="1" applyFill="1" applyAlignment="1" applyProtection="1">
      <alignment horizontal="center"/>
    </xf>
    <xf numFmtId="1" fontId="3" fillId="3" borderId="4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Border="1" applyProtection="1"/>
    <xf numFmtId="0" fontId="2" fillId="0" borderId="0" xfId="0" applyFont="1" applyAlignment="1" applyProtection="1">
      <alignment horizontal="left"/>
    </xf>
    <xf numFmtId="0" fontId="0" fillId="0" borderId="0" xfId="0" applyFill="1" applyProtection="1"/>
    <xf numFmtId="1" fontId="7" fillId="3" borderId="0" xfId="0" applyNumberFormat="1" applyFont="1" applyFill="1" applyAlignment="1" applyProtection="1">
      <alignment horizontal="center"/>
    </xf>
    <xf numFmtId="0" fontId="4" fillId="0" borderId="0" xfId="0" applyFont="1" applyFill="1" applyProtection="1"/>
    <xf numFmtId="0" fontId="8" fillId="4" borderId="0" xfId="0" applyFont="1" applyFill="1" applyProtection="1"/>
    <xf numFmtId="0" fontId="8" fillId="5" borderId="0" xfId="0" applyFont="1" applyFill="1" applyProtection="1"/>
    <xf numFmtId="0" fontId="9" fillId="0" borderId="0" xfId="0" applyFont="1" applyFill="1" applyBorder="1" applyProtection="1"/>
    <xf numFmtId="0" fontId="10" fillId="0" borderId="0" xfId="0" applyFont="1" applyFill="1" applyBorder="1" applyProtection="1"/>
    <xf numFmtId="49" fontId="2" fillId="0" borderId="0" xfId="0" applyNumberFormat="1" applyFont="1" applyAlignment="1" applyProtection="1">
      <alignment horizontal="center"/>
    </xf>
    <xf numFmtId="0" fontId="2" fillId="0" borderId="0" xfId="0" applyFont="1" applyFill="1" applyProtection="1"/>
    <xf numFmtId="0" fontId="0" fillId="0" borderId="5" xfId="0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2" fontId="3" fillId="3" borderId="5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3" xfId="0" applyFill="1" applyBorder="1" applyProtection="1"/>
    <xf numFmtId="0" fontId="4" fillId="6" borderId="3" xfId="0" applyFont="1" applyFill="1" applyBorder="1" applyProtection="1"/>
    <xf numFmtId="0" fontId="0" fillId="0" borderId="3" xfId="0" applyFont="1" applyFill="1" applyBorder="1" applyProtection="1"/>
    <xf numFmtId="0" fontId="2" fillId="2" borderId="7" xfId="0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</xf>
    <xf numFmtId="2" fontId="3" fillId="3" borderId="7" xfId="0" applyNumberFormat="1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1" fillId="0" borderId="0" xfId="1" applyFont="1" applyAlignment="1" applyProtection="1"/>
    <xf numFmtId="0" fontId="11" fillId="0" borderId="0" xfId="1" applyFont="1" applyAlignment="1" applyProtection="1">
      <alignment horizontal="left"/>
    </xf>
    <xf numFmtId="0" fontId="14" fillId="0" borderId="9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" fontId="1" fillId="6" borderId="7" xfId="0" applyNumberFormat="1" applyFont="1" applyFill="1" applyBorder="1" applyAlignment="1" applyProtection="1">
      <alignment horizontal="center"/>
    </xf>
    <xf numFmtId="1" fontId="1" fillId="6" borderId="0" xfId="0" applyNumberFormat="1" applyFont="1" applyFill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5" fillId="0" borderId="7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1" fontId="15" fillId="6" borderId="7" xfId="0" applyNumberFormat="1" applyFont="1" applyFill="1" applyBorder="1" applyAlignment="1" applyProtection="1">
      <alignment horizontal="center"/>
    </xf>
    <xf numFmtId="1" fontId="15" fillId="6" borderId="0" xfId="0" applyNumberFormat="1" applyFont="1" applyFill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1" fontId="17" fillId="6" borderId="7" xfId="0" applyNumberFormat="1" applyFont="1" applyFill="1" applyBorder="1" applyAlignment="1" applyProtection="1">
      <alignment horizontal="center"/>
    </xf>
    <xf numFmtId="1" fontId="17" fillId="6" borderId="0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8" fillId="0" borderId="0" xfId="0" applyFont="1" applyFill="1" applyProtection="1"/>
    <xf numFmtId="0" fontId="8" fillId="0" borderId="3" xfId="0" applyFont="1" applyFill="1" applyBorder="1" applyProtection="1"/>
    <xf numFmtId="0" fontId="8" fillId="0" borderId="11" xfId="0" applyFont="1" applyFill="1" applyBorder="1" applyProtection="1"/>
    <xf numFmtId="0" fontId="0" fillId="0" borderId="0" xfId="0" applyBorder="1" applyAlignment="1" applyProtection="1">
      <alignment horizontal="center"/>
      <protection locked="0"/>
    </xf>
    <xf numFmtId="0" fontId="3" fillId="0" borderId="3" xfId="0" applyFont="1" applyBorder="1" applyProtection="1"/>
    <xf numFmtId="2" fontId="3" fillId="3" borderId="0" xfId="0" applyNumberFormat="1" applyFont="1" applyFill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Protection="1"/>
    <xf numFmtId="0" fontId="2" fillId="0" borderId="0" xfId="0" applyFont="1"/>
    <xf numFmtId="1" fontId="3" fillId="3" borderId="3" xfId="0" applyNumberFormat="1" applyFont="1" applyFill="1" applyBorder="1" applyAlignment="1" applyProtection="1">
      <alignment horizontal="center"/>
    </xf>
    <xf numFmtId="2" fontId="3" fillId="3" borderId="3" xfId="0" applyNumberFormat="1" applyFont="1" applyFill="1" applyBorder="1" applyAlignment="1" applyProtection="1">
      <alignment horizontal="center"/>
    </xf>
    <xf numFmtId="1" fontId="3" fillId="3" borderId="11" xfId="0" applyNumberFormat="1" applyFont="1" applyFill="1" applyBorder="1" applyAlignment="1" applyProtection="1">
      <alignment horizontal="center"/>
    </xf>
    <xf numFmtId="0" fontId="13" fillId="7" borderId="2" xfId="0" applyFont="1" applyFill="1" applyBorder="1" applyAlignment="1" applyProtection="1">
      <alignment horizontal="center"/>
    </xf>
    <xf numFmtId="0" fontId="15" fillId="7" borderId="3" xfId="0" applyFont="1" applyFill="1" applyBorder="1" applyAlignment="1" applyProtection="1">
      <alignment horizontal="center"/>
    </xf>
    <xf numFmtId="1" fontId="15" fillId="7" borderId="3" xfId="0" applyNumberFormat="1" applyFont="1" applyFill="1" applyBorder="1" applyAlignment="1" applyProtection="1">
      <alignment horizontal="center"/>
    </xf>
    <xf numFmtId="0" fontId="2" fillId="7" borderId="9" xfId="0" applyFont="1" applyFill="1" applyBorder="1" applyAlignment="1" applyProtection="1">
      <alignment horizontal="left"/>
    </xf>
    <xf numFmtId="0" fontId="0" fillId="7" borderId="10" xfId="0" applyFill="1" applyBorder="1" applyProtection="1"/>
    <xf numFmtId="0" fontId="0" fillId="7" borderId="1" xfId="0" applyFill="1" applyBorder="1"/>
    <xf numFmtId="1" fontId="2" fillId="7" borderId="7" xfId="0" applyNumberFormat="1" applyFont="1" applyFill="1" applyBorder="1" applyAlignment="1" applyProtection="1">
      <alignment horizontal="left"/>
    </xf>
    <xf numFmtId="0" fontId="0" fillId="7" borderId="0" xfId="0" applyFill="1" applyBorder="1" applyProtection="1"/>
    <xf numFmtId="0" fontId="0" fillId="7" borderId="5" xfId="0" applyFill="1" applyBorder="1"/>
    <xf numFmtId="1" fontId="2" fillId="7" borderId="8" xfId="0" applyNumberFormat="1" applyFont="1" applyFill="1" applyBorder="1" applyAlignment="1" applyProtection="1">
      <alignment horizontal="left"/>
    </xf>
    <xf numFmtId="0" fontId="0" fillId="7" borderId="4" xfId="0" applyFill="1" applyBorder="1" applyProtection="1"/>
    <xf numFmtId="0" fontId="0" fillId="7" borderId="3" xfId="0" applyFill="1" applyBorder="1"/>
    <xf numFmtId="0" fontId="0" fillId="7" borderId="3" xfId="0" applyFill="1" applyBorder="1" applyProtection="1"/>
    <xf numFmtId="0" fontId="13" fillId="7" borderId="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</xf>
    <xf numFmtId="0" fontId="11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11" fillId="4" borderId="0" xfId="1" applyFont="1" applyFill="1" applyAlignment="1" applyProtection="1">
      <alignment horizontal="center"/>
    </xf>
    <xf numFmtId="0" fontId="11" fillId="4" borderId="0" xfId="1" applyFont="1" applyFill="1" applyAlignment="1" applyProtection="1"/>
    <xf numFmtId="1" fontId="3" fillId="4" borderId="4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2" fillId="8" borderId="0" xfId="0" applyFont="1" applyFill="1" applyAlignment="1"/>
    <xf numFmtId="0" fontId="0" fillId="8" borderId="0" xfId="0" applyFill="1" applyAlignment="1"/>
  </cellXfs>
  <cellStyles count="2">
    <cellStyle name="Lien hypertexte" xfId="1" builtinId="8"/>
    <cellStyle name="Normal" xfId="0" builtinId="0"/>
  </cellStyles>
  <dxfs count="12">
    <dxf>
      <font>
        <b/>
        <i val="0"/>
        <condense val="0"/>
        <extend val="0"/>
        <color auto="1"/>
      </font>
      <fill>
        <patternFill>
          <bgColor indexed="47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47"/>
        </patternFill>
      </fill>
    </dxf>
    <dxf>
      <font>
        <b/>
        <i val="0"/>
        <strike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7"/>
        </patternFill>
      </fill>
    </dxf>
    <dxf>
      <font>
        <b/>
        <i val="0"/>
        <strike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strike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7"/>
        </patternFill>
      </fill>
    </dxf>
    <dxf>
      <font>
        <b/>
        <i val="0"/>
        <strike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strike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strike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95250</xdr:rowOff>
    </xdr:from>
    <xdr:to>
      <xdr:col>6</xdr:col>
      <xdr:colOff>495300</xdr:colOff>
      <xdr:row>15</xdr:row>
      <xdr:rowOff>76200</xdr:rowOff>
    </xdr:to>
    <xdr:pic>
      <xdr:nvPicPr>
        <xdr:cNvPr id="1038" name="Image 2" descr="baluns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476250"/>
          <a:ext cx="1676400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7</xdr:col>
      <xdr:colOff>1085850</xdr:colOff>
      <xdr:row>43</xdr:row>
      <xdr:rowOff>180975</xdr:rowOff>
    </xdr:to>
    <xdr:pic>
      <xdr:nvPicPr>
        <xdr:cNvPr id="4097" name="Picture 1" descr="PTFE_WIRE_AWG-KZ05_Page_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6400800" cy="822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9</xdr:col>
      <xdr:colOff>695325</xdr:colOff>
      <xdr:row>57</xdr:row>
      <xdr:rowOff>47625</xdr:rowOff>
    </xdr:to>
    <xdr:pic>
      <xdr:nvPicPr>
        <xdr:cNvPr id="3074" name="Picture 2" descr="Tubing PTFE GREMC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7553325" cy="1069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600075</xdr:colOff>
      <xdr:row>14</xdr:row>
      <xdr:rowOff>133350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20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partsandkits.com/toroids.php" TargetMode="External"/><Relationship Id="rId7" Type="http://schemas.openxmlformats.org/officeDocument/2006/relationships/hyperlink" Target="http://industrial-hoses.info/en/industrial-hoses/products/industrial%20hoses/ptfe%20hoses/ERIKS%20-%20RX%20Eriflon%20PTFE%20spaghetti%20tubing.pdf" TargetMode="External"/><Relationship Id="rId2" Type="http://schemas.openxmlformats.org/officeDocument/2006/relationships/hyperlink" Target="http://f1frv.free.fr/" TargetMode="External"/><Relationship Id="rId1" Type="http://schemas.openxmlformats.org/officeDocument/2006/relationships/hyperlink" Target="mailto:f1frv@sfr.fr" TargetMode="External"/><Relationship Id="rId6" Type="http://schemas.openxmlformats.org/officeDocument/2006/relationships/hyperlink" Target="http://www.fair-rite.com/newfair/catalog.htm" TargetMode="External"/><Relationship Id="rId5" Type="http://schemas.openxmlformats.org/officeDocument/2006/relationships/hyperlink" Target="http://www.cwsbytemark.com/index.php?main_page=index&amp;cPath=206_221" TargetMode="External"/><Relationship Id="rId4" Type="http://schemas.openxmlformats.org/officeDocument/2006/relationships/hyperlink" Target="https://www.amidoncorp.com/categories/7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B15"/>
  <sheetViews>
    <sheetView workbookViewId="0">
      <selection activeCell="A17" sqref="A17"/>
    </sheetView>
  </sheetViews>
  <sheetFormatPr baseColWidth="10" defaultRowHeight="15" x14ac:dyDescent="0.25"/>
  <cols>
    <col min="1" max="1" width="12.7109375" customWidth="1"/>
    <col min="2" max="2" width="16.85546875" customWidth="1"/>
  </cols>
  <sheetData>
    <row r="1" spans="1:2" x14ac:dyDescent="0.25">
      <c r="A1" s="73" t="s">
        <v>118</v>
      </c>
      <c r="B1" s="73" t="s">
        <v>107</v>
      </c>
    </row>
    <row r="2" spans="1:2" x14ac:dyDescent="0.25">
      <c r="A2" t="s">
        <v>111</v>
      </c>
    </row>
    <row r="3" spans="1:2" x14ac:dyDescent="0.25">
      <c r="A3" t="s">
        <v>106</v>
      </c>
    </row>
    <row r="5" spans="1:2" x14ac:dyDescent="0.25">
      <c r="A5" s="73" t="s">
        <v>117</v>
      </c>
      <c r="B5" s="73" t="s">
        <v>112</v>
      </c>
    </row>
    <row r="6" spans="1:2" x14ac:dyDescent="0.25">
      <c r="A6" t="s">
        <v>110</v>
      </c>
    </row>
    <row r="8" spans="1:2" x14ac:dyDescent="0.25">
      <c r="A8" s="73" t="s">
        <v>116</v>
      </c>
      <c r="B8" s="73" t="s">
        <v>119</v>
      </c>
    </row>
    <row r="9" spans="1:2" x14ac:dyDescent="0.25">
      <c r="A9" t="s">
        <v>120</v>
      </c>
    </row>
    <row r="11" spans="1:2" x14ac:dyDescent="0.25">
      <c r="A11" s="73" t="s">
        <v>129</v>
      </c>
      <c r="B11" s="73" t="s">
        <v>128</v>
      </c>
    </row>
    <row r="12" spans="1:2" x14ac:dyDescent="0.25">
      <c r="A12" t="s">
        <v>127</v>
      </c>
    </row>
    <row r="14" spans="1:2" x14ac:dyDescent="0.25">
      <c r="A14" s="73" t="s">
        <v>130</v>
      </c>
      <c r="B14" s="73" t="s">
        <v>133</v>
      </c>
    </row>
    <row r="15" spans="1:2" x14ac:dyDescent="0.25">
      <c r="A15" t="s">
        <v>131</v>
      </c>
    </row>
  </sheetData>
  <sheetProtection sheet="1" formatCells="0" formatColumns="0" formatRows="0" insertColumns="0" insertRows="0" insertHyperlinks="0" deleteColumns="0" deleteRows="0" sort="0" autoFilter="0" pivotTables="0"/>
  <phoneticPr fontId="6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tabSelected="1" zoomScale="90" zoomScaleNormal="90" workbookViewId="0"/>
  </sheetViews>
  <sheetFormatPr baseColWidth="10" defaultRowHeight="15" x14ac:dyDescent="0.25"/>
  <cols>
    <col min="1" max="1" width="67.28515625" customWidth="1"/>
    <col min="2" max="2" width="65.5703125" style="5" customWidth="1"/>
    <col min="3" max="3" width="11.5703125" style="4" customWidth="1"/>
    <col min="4" max="4" width="9.5703125" style="4" customWidth="1"/>
    <col min="5" max="5" width="8.7109375" style="4" customWidth="1"/>
    <col min="6" max="6" width="9.42578125" style="5" customWidth="1"/>
    <col min="7" max="7" width="8.42578125" style="5" customWidth="1"/>
    <col min="8" max="8" width="12.28515625" customWidth="1"/>
  </cols>
  <sheetData>
    <row r="1" spans="1:7" x14ac:dyDescent="0.25">
      <c r="A1" s="28" t="s">
        <v>85</v>
      </c>
      <c r="B1" s="28" t="s">
        <v>86</v>
      </c>
      <c r="C1" s="11" t="s">
        <v>95</v>
      </c>
      <c r="D1" s="19" t="s">
        <v>132</v>
      </c>
      <c r="E1" s="27"/>
      <c r="G1"/>
    </row>
    <row r="2" spans="1:7" x14ac:dyDescent="0.25">
      <c r="A2" s="64" t="s">
        <v>73</v>
      </c>
      <c r="B2" s="64" t="s">
        <v>74</v>
      </c>
      <c r="D2" s="93" t="s">
        <v>45</v>
      </c>
      <c r="E2" s="94"/>
      <c r="F2" s="93" t="s">
        <v>46</v>
      </c>
      <c r="G2" s="94"/>
    </row>
    <row r="3" spans="1:7" x14ac:dyDescent="0.25">
      <c r="A3" s="10" t="s">
        <v>39</v>
      </c>
      <c r="B3" s="10" t="s">
        <v>40</v>
      </c>
      <c r="C3" s="19" t="s">
        <v>54</v>
      </c>
    </row>
    <row r="4" spans="1:7" x14ac:dyDescent="0.25">
      <c r="A4" s="23" t="s">
        <v>56</v>
      </c>
      <c r="B4" s="23" t="s">
        <v>41</v>
      </c>
      <c r="C4" s="19" t="s">
        <v>55</v>
      </c>
    </row>
    <row r="5" spans="1:7" x14ac:dyDescent="0.25">
      <c r="A5" s="24" t="s">
        <v>42</v>
      </c>
      <c r="B5" s="24" t="s">
        <v>43</v>
      </c>
      <c r="C5" s="19"/>
    </row>
    <row r="6" spans="1:7" x14ac:dyDescent="0.25">
      <c r="A6" s="3" t="s">
        <v>83</v>
      </c>
      <c r="B6" s="28" t="s">
        <v>84</v>
      </c>
      <c r="C6" s="1">
        <v>2500</v>
      </c>
      <c r="D6" s="63" t="s">
        <v>11</v>
      </c>
    </row>
    <row r="7" spans="1:7" x14ac:dyDescent="0.25">
      <c r="A7" s="3" t="s">
        <v>49</v>
      </c>
      <c r="B7" s="28" t="s">
        <v>81</v>
      </c>
      <c r="C7" s="71">
        <v>1.8</v>
      </c>
      <c r="D7" s="63" t="s">
        <v>1</v>
      </c>
    </row>
    <row r="8" spans="1:7" x14ac:dyDescent="0.25">
      <c r="A8" s="3" t="s">
        <v>105</v>
      </c>
      <c r="B8" s="28" t="s">
        <v>93</v>
      </c>
      <c r="C8" s="71">
        <v>30</v>
      </c>
      <c r="D8" s="63" t="s">
        <v>1</v>
      </c>
    </row>
    <row r="9" spans="1:7" x14ac:dyDescent="0.25">
      <c r="A9" s="3" t="s">
        <v>16</v>
      </c>
      <c r="B9" s="28" t="s">
        <v>82</v>
      </c>
      <c r="C9" s="1">
        <v>50</v>
      </c>
      <c r="D9" s="63" t="s">
        <v>12</v>
      </c>
    </row>
    <row r="10" spans="1:7" x14ac:dyDescent="0.25">
      <c r="A10" s="72" t="s">
        <v>108</v>
      </c>
      <c r="B10" s="22" t="s">
        <v>109</v>
      </c>
      <c r="C10" s="70">
        <f>C7+((C8-C7)*0.11)</f>
        <v>4.9020000000000001</v>
      </c>
      <c r="D10" s="14" t="s">
        <v>1</v>
      </c>
    </row>
    <row r="11" spans="1:7" x14ac:dyDescent="0.25">
      <c r="A11" s="5" t="s">
        <v>24</v>
      </c>
      <c r="B11" s="20" t="s">
        <v>25</v>
      </c>
      <c r="C11" s="21">
        <f>(SQRT(C6*C9))*1</f>
        <v>353.55339059327378</v>
      </c>
      <c r="D11" s="14" t="s">
        <v>0</v>
      </c>
    </row>
    <row r="12" spans="1:7" x14ac:dyDescent="0.25">
      <c r="A12" s="5" t="s">
        <v>26</v>
      </c>
      <c r="B12" s="20" t="s">
        <v>27</v>
      </c>
      <c r="C12" s="21">
        <f>((SQRT(C6*C9))*1)*SQRT(3)</f>
        <v>612.37243569579448</v>
      </c>
      <c r="D12" s="14" t="s">
        <v>0</v>
      </c>
    </row>
    <row r="13" spans="1:7" x14ac:dyDescent="0.25">
      <c r="A13" s="5" t="s">
        <v>28</v>
      </c>
      <c r="B13" s="20" t="s">
        <v>29</v>
      </c>
      <c r="C13" s="21">
        <f>((SQRT(C6*C9))*1)*SQRT(10)</f>
        <v>1118.0339887498949</v>
      </c>
      <c r="D13" s="14" t="s">
        <v>0</v>
      </c>
    </row>
    <row r="14" spans="1:7" x14ac:dyDescent="0.25">
      <c r="A14" s="3" t="s">
        <v>17</v>
      </c>
      <c r="B14" s="28" t="s">
        <v>20</v>
      </c>
      <c r="C14" s="1">
        <v>1.5</v>
      </c>
      <c r="D14" s="8"/>
    </row>
    <row r="15" spans="1:7" x14ac:dyDescent="0.25">
      <c r="A15" s="3" t="s">
        <v>13</v>
      </c>
      <c r="B15" s="28" t="s">
        <v>50</v>
      </c>
      <c r="C15" s="1">
        <v>3</v>
      </c>
      <c r="D15" s="8"/>
    </row>
    <row r="16" spans="1:7" ht="15.75" thickBot="1" x14ac:dyDescent="0.3">
      <c r="A16" s="65" t="s">
        <v>18</v>
      </c>
      <c r="B16" s="65" t="s">
        <v>19</v>
      </c>
      <c r="C16" s="14">
        <f>(C15/C14)^2</f>
        <v>4</v>
      </c>
      <c r="D16" s="14" t="s">
        <v>96</v>
      </c>
    </row>
    <row r="17" spans="1:8" ht="15.75" thickTop="1" x14ac:dyDescent="0.25">
      <c r="A17" s="3" t="s">
        <v>88</v>
      </c>
      <c r="B17" s="28" t="s">
        <v>89</v>
      </c>
      <c r="C17" s="70">
        <f>ROUNDDOWN(((C11/C9)/3.3),2)</f>
        <v>2.14</v>
      </c>
      <c r="D17" s="14" t="s">
        <v>72</v>
      </c>
      <c r="E17" s="80" t="s">
        <v>123</v>
      </c>
      <c r="F17" s="81"/>
      <c r="G17" s="81"/>
      <c r="H17" s="82"/>
    </row>
    <row r="18" spans="1:8" x14ac:dyDescent="0.25">
      <c r="A18" s="3" t="s">
        <v>91</v>
      </c>
      <c r="B18" s="28" t="s">
        <v>92</v>
      </c>
      <c r="C18" s="70">
        <f>(2*SQRT(((C17)/PI())))</f>
        <v>1.6506764146050092</v>
      </c>
      <c r="D18" s="14" t="s">
        <v>70</v>
      </c>
      <c r="E18" s="83" t="s">
        <v>121</v>
      </c>
      <c r="F18" s="84"/>
      <c r="G18" s="84"/>
      <c r="H18" s="85"/>
    </row>
    <row r="19" spans="1:8" x14ac:dyDescent="0.25">
      <c r="A19" s="65" t="s">
        <v>51</v>
      </c>
      <c r="B19" s="65" t="s">
        <v>36</v>
      </c>
      <c r="C19" s="14">
        <f>C9*C16</f>
        <v>200</v>
      </c>
      <c r="D19" s="14" t="s">
        <v>12</v>
      </c>
      <c r="E19" s="83" t="s">
        <v>122</v>
      </c>
      <c r="F19" s="84"/>
      <c r="G19" s="84"/>
      <c r="H19" s="85"/>
    </row>
    <row r="20" spans="1:8" ht="15.75" thickBot="1" x14ac:dyDescent="0.3">
      <c r="A20" s="22" t="s">
        <v>33</v>
      </c>
      <c r="B20" s="22" t="s">
        <v>30</v>
      </c>
      <c r="C20" s="6">
        <f>(SQRT(C6*C19))*1</f>
        <v>707.10678118654755</v>
      </c>
      <c r="D20" s="6" t="s">
        <v>0</v>
      </c>
      <c r="E20" s="86" t="s">
        <v>124</v>
      </c>
      <c r="F20" s="87"/>
      <c r="G20" s="87"/>
      <c r="H20" s="85"/>
    </row>
    <row r="21" spans="1:8" ht="15.75" thickTop="1" x14ac:dyDescent="0.25">
      <c r="A21" s="22" t="s">
        <v>34</v>
      </c>
      <c r="B21" s="22" t="s">
        <v>31</v>
      </c>
      <c r="C21" s="6">
        <f>((SQRT(C6*C19))*1)*SQRT(3)</f>
        <v>1224.744871391589</v>
      </c>
      <c r="D21" s="6" t="s">
        <v>0</v>
      </c>
      <c r="E21" s="95" t="s">
        <v>71</v>
      </c>
      <c r="F21" s="96"/>
      <c r="G21" s="96"/>
      <c r="H21" s="88"/>
    </row>
    <row r="22" spans="1:8" ht="15.75" thickBot="1" x14ac:dyDescent="0.3">
      <c r="A22" s="22" t="s">
        <v>35</v>
      </c>
      <c r="B22" s="22" t="s">
        <v>32</v>
      </c>
      <c r="C22" s="6">
        <f>((SQRT(C6*C19))*1)*SQRT(10)</f>
        <v>2236.0679774997898</v>
      </c>
      <c r="D22" s="6" t="s">
        <v>0</v>
      </c>
      <c r="E22" s="97" t="s">
        <v>47</v>
      </c>
      <c r="F22" s="98"/>
      <c r="G22" s="98"/>
      <c r="H22" s="89"/>
    </row>
    <row r="23" spans="1:8" ht="15.75" thickTop="1" x14ac:dyDescent="0.25">
      <c r="A23" s="12" t="s">
        <v>14</v>
      </c>
      <c r="B23" s="34" t="s">
        <v>7</v>
      </c>
      <c r="C23" s="51" t="s">
        <v>22</v>
      </c>
      <c r="D23" s="52" t="s">
        <v>6</v>
      </c>
      <c r="E23" s="52" t="s">
        <v>5</v>
      </c>
      <c r="F23" s="52" t="s">
        <v>4</v>
      </c>
      <c r="G23" s="9"/>
      <c r="H23" s="90" t="s">
        <v>114</v>
      </c>
    </row>
    <row r="24" spans="1:8" x14ac:dyDescent="0.25">
      <c r="A24" s="13" t="s">
        <v>57</v>
      </c>
      <c r="B24" s="35" t="s">
        <v>58</v>
      </c>
      <c r="C24" s="53">
        <v>470</v>
      </c>
      <c r="D24" s="54">
        <v>510</v>
      </c>
      <c r="E24" s="54">
        <v>885</v>
      </c>
      <c r="F24" s="54">
        <v>1075</v>
      </c>
      <c r="G24" s="29" t="s">
        <v>53</v>
      </c>
      <c r="H24" s="78">
        <v>2890</v>
      </c>
    </row>
    <row r="25" spans="1:8" x14ac:dyDescent="0.25">
      <c r="A25" s="13" t="s">
        <v>48</v>
      </c>
      <c r="B25" s="37" t="s">
        <v>3</v>
      </c>
      <c r="C25" s="53">
        <v>0.24299999999999999</v>
      </c>
      <c r="D25" s="54">
        <v>0.37</v>
      </c>
      <c r="E25" s="54">
        <v>0.79</v>
      </c>
      <c r="F25" s="54">
        <v>1.58</v>
      </c>
      <c r="G25" s="29" t="s">
        <v>52</v>
      </c>
      <c r="H25" s="78">
        <v>0.77</v>
      </c>
    </row>
    <row r="26" spans="1:8" x14ac:dyDescent="0.25">
      <c r="A26" s="69" t="s">
        <v>77</v>
      </c>
      <c r="B26" s="36" t="s">
        <v>78</v>
      </c>
      <c r="C26" s="55">
        <v>2900</v>
      </c>
      <c r="D26" s="56">
        <v>2900</v>
      </c>
      <c r="E26" s="56">
        <v>2900</v>
      </c>
      <c r="F26" s="56">
        <v>2900</v>
      </c>
      <c r="G26" s="30" t="s">
        <v>2</v>
      </c>
      <c r="H26" s="79">
        <v>2900</v>
      </c>
    </row>
    <row r="27" spans="1:8" x14ac:dyDescent="0.25">
      <c r="A27" s="13" t="s">
        <v>38</v>
      </c>
      <c r="B27" s="35" t="s">
        <v>37</v>
      </c>
      <c r="C27" s="38">
        <v>8</v>
      </c>
      <c r="D27" s="2">
        <v>6</v>
      </c>
      <c r="E27" s="2">
        <v>4</v>
      </c>
      <c r="F27" s="2">
        <v>2</v>
      </c>
      <c r="G27" s="29"/>
      <c r="H27" s="91">
        <v>1</v>
      </c>
    </row>
    <row r="28" spans="1:8" x14ac:dyDescent="0.25">
      <c r="A28" s="66" t="s">
        <v>104</v>
      </c>
      <c r="B28" s="66" t="s">
        <v>103</v>
      </c>
      <c r="C28" s="39">
        <f>((C24*($C$15^2)*C27)/1000)*((2*PI())*$C$10)</f>
        <v>1042.2779008768803</v>
      </c>
      <c r="D28" s="7">
        <f>((D24*($C$15^2)*D27)/1000)*((2*PI())*$C$10)</f>
        <v>848.23680230937589</v>
      </c>
      <c r="E28" s="7">
        <f>((E24*($C$15^2)*E27)/1000)*((2*PI())*$C$10)</f>
        <v>981.29355561280738</v>
      </c>
      <c r="F28" s="7">
        <f>((F24*($C$15^2)*F27)/1000)*((2*PI())*$C$10)</f>
        <v>595.98337417162031</v>
      </c>
      <c r="G28" s="92" t="s">
        <v>12</v>
      </c>
      <c r="H28" s="74">
        <f>((H24*($C$15^2)*H27)/1000)*((2*PI())*$C$10)</f>
        <v>801.11253551441064</v>
      </c>
    </row>
    <row r="29" spans="1:8" x14ac:dyDescent="0.25">
      <c r="A29" s="66" t="s">
        <v>21</v>
      </c>
      <c r="B29" s="66" t="s">
        <v>90</v>
      </c>
      <c r="C29" s="40">
        <f>C28/$C$19</f>
        <v>5.2113895043844014</v>
      </c>
      <c r="D29" s="16">
        <f>D28/$C$19</f>
        <v>4.2411840115468795</v>
      </c>
      <c r="E29" s="16">
        <f>E28/$C$19</f>
        <v>4.9064677780640373</v>
      </c>
      <c r="F29" s="16">
        <f>F28/$C$19</f>
        <v>2.9799168708581014</v>
      </c>
      <c r="G29" s="33"/>
      <c r="H29" s="75">
        <f>H28/$C$19</f>
        <v>4.005562677572053</v>
      </c>
    </row>
    <row r="30" spans="1:8" x14ac:dyDescent="0.25">
      <c r="A30" s="66" t="s">
        <v>97</v>
      </c>
      <c r="B30" s="66" t="s">
        <v>98</v>
      </c>
      <c r="C30" s="7">
        <f>($C$20*70.7)/(4.44*(C27*C25)*$C$15*$C$7)</f>
        <v>1072.5842747301679</v>
      </c>
      <c r="D30" s="7">
        <f>($C$20*70.7)/(4.44*(D27*D25)*$C$15*$C$7)</f>
        <v>939.23595949344451</v>
      </c>
      <c r="E30" s="7">
        <f>($C$20*70.7)/(4.44*(E27*E25)*$C$15*$C$7)</f>
        <v>659.84298420109053</v>
      </c>
      <c r="F30" s="7">
        <f>($C$20*70.7)/(4.44*(F27*F25)*$C$15*$C$7)</f>
        <v>659.84298420109053</v>
      </c>
      <c r="G30" s="33" t="s">
        <v>2</v>
      </c>
      <c r="H30" s="74">
        <f>($C$20*70.7)/(4.44*(H27*H25)*$C$15*$C$7)</f>
        <v>2707.9270520460341</v>
      </c>
    </row>
    <row r="31" spans="1:8" x14ac:dyDescent="0.25">
      <c r="A31" s="66" t="s">
        <v>99</v>
      </c>
      <c r="B31" s="66" t="s">
        <v>100</v>
      </c>
      <c r="C31" s="7">
        <f>($C$21*70.7)/(4.44*(C27*C25)*$C$15*$C$7)</f>
        <v>1857.7704592320658</v>
      </c>
      <c r="D31" s="7">
        <f>($C$21*70.7)/(4.44*(D27*D25)*$C$15*$C$7)</f>
        <v>1626.8044021383498</v>
      </c>
      <c r="E31" s="7">
        <f>($C$21*70.7)/(4.44*(E27*E25)*$C$15*$C$7)</f>
        <v>1142.8815736541569</v>
      </c>
      <c r="F31" s="7">
        <f>($C$21*70.7)/(4.44*(F27*F25)*$C$15*$C$7)</f>
        <v>1142.8815736541569</v>
      </c>
      <c r="G31" s="31" t="s">
        <v>2</v>
      </c>
      <c r="H31" s="74">
        <f>($C$21*70.7)/(4.44*(H27*H25)*$C$15*$C$7)</f>
        <v>4690.2672373339428</v>
      </c>
    </row>
    <row r="32" spans="1:8" ht="15.75" thickBot="1" x14ac:dyDescent="0.3">
      <c r="A32" s="67" t="s">
        <v>101</v>
      </c>
      <c r="B32" s="67" t="s">
        <v>102</v>
      </c>
      <c r="C32" s="15">
        <f>($C$22*70.7)/(4.44*(C27*C25)*$C$15*$C$7)</f>
        <v>3391.8092906271136</v>
      </c>
      <c r="D32" s="15">
        <f>($C$22*70.7)/(4.44*(D27*D25)*$C$15*$C$7)</f>
        <v>2970.1248923329322</v>
      </c>
      <c r="E32" s="15">
        <f>($C$22*70.7)/(4.44*(E27*E25)*$C$15*$C$7)</f>
        <v>2086.6067281579458</v>
      </c>
      <c r="F32" s="15">
        <f>($C$22*70.7)/(4.44*(F27*F25)*$C$15*$C$7)</f>
        <v>2086.6067281579458</v>
      </c>
      <c r="G32" s="32" t="s">
        <v>2</v>
      </c>
      <c r="H32" s="76">
        <f>($C$22*70.7)/(4.44*(H27*H25)*$C$15*$C$7)</f>
        <v>8563.217222050791</v>
      </c>
    </row>
    <row r="33" spans="1:8" ht="15.75" thickTop="1" x14ac:dyDescent="0.25">
      <c r="A33" s="25" t="s">
        <v>126</v>
      </c>
      <c r="C33" s="5"/>
      <c r="D33" s="5"/>
      <c r="E33" s="5"/>
    </row>
    <row r="34" spans="1:8" ht="15.75" thickBot="1" x14ac:dyDescent="0.3">
      <c r="A34" s="25" t="s">
        <v>125</v>
      </c>
      <c r="C34"/>
      <c r="D34"/>
      <c r="E34"/>
      <c r="G34"/>
      <c r="H34" s="5"/>
    </row>
    <row r="35" spans="1:8" ht="15.75" thickTop="1" x14ac:dyDescent="0.25">
      <c r="A35" s="12" t="s">
        <v>14</v>
      </c>
      <c r="B35" s="34" t="s">
        <v>7</v>
      </c>
      <c r="C35" s="45" t="s">
        <v>59</v>
      </c>
      <c r="D35" s="46" t="s">
        <v>60</v>
      </c>
      <c r="E35" s="46" t="s">
        <v>61</v>
      </c>
      <c r="F35" s="46" t="s">
        <v>62</v>
      </c>
      <c r="G35" s="9"/>
      <c r="H35" s="77" t="s">
        <v>115</v>
      </c>
    </row>
    <row r="36" spans="1:8" x14ac:dyDescent="0.25">
      <c r="A36" s="13" t="s">
        <v>57</v>
      </c>
      <c r="B36" s="35" t="s">
        <v>58</v>
      </c>
      <c r="C36" s="47">
        <v>1270</v>
      </c>
      <c r="D36" s="48">
        <v>1365</v>
      </c>
      <c r="E36" s="48">
        <v>2400</v>
      </c>
      <c r="F36" s="48">
        <v>2950</v>
      </c>
      <c r="G36" s="29" t="s">
        <v>53</v>
      </c>
      <c r="H36" s="78">
        <v>5400</v>
      </c>
    </row>
    <row r="37" spans="1:8" x14ac:dyDescent="0.25">
      <c r="A37" s="13" t="s">
        <v>48</v>
      </c>
      <c r="B37" s="35" t="s">
        <v>15</v>
      </c>
      <c r="C37" s="47">
        <v>0.24299999999999999</v>
      </c>
      <c r="D37" s="48">
        <v>0.37</v>
      </c>
      <c r="E37" s="48">
        <v>0.79</v>
      </c>
      <c r="F37" s="48">
        <v>1.58</v>
      </c>
      <c r="G37" s="29" t="s">
        <v>52</v>
      </c>
      <c r="H37" s="78">
        <v>1.49</v>
      </c>
    </row>
    <row r="38" spans="1:8" x14ac:dyDescent="0.25">
      <c r="A38" s="69" t="s">
        <v>75</v>
      </c>
      <c r="B38" s="36" t="s">
        <v>76</v>
      </c>
      <c r="C38" s="49">
        <v>4900</v>
      </c>
      <c r="D38" s="50">
        <v>4900</v>
      </c>
      <c r="E38" s="50">
        <v>4900</v>
      </c>
      <c r="F38" s="50">
        <v>4900</v>
      </c>
      <c r="G38" s="30" t="s">
        <v>2</v>
      </c>
      <c r="H38" s="79">
        <v>2900</v>
      </c>
    </row>
    <row r="39" spans="1:8" x14ac:dyDescent="0.25">
      <c r="A39" s="13" t="s">
        <v>38</v>
      </c>
      <c r="B39" s="35" t="s">
        <v>37</v>
      </c>
      <c r="C39" s="38">
        <v>8</v>
      </c>
      <c r="D39" s="2">
        <v>6</v>
      </c>
      <c r="E39" s="2">
        <v>4</v>
      </c>
      <c r="F39" s="2">
        <v>2</v>
      </c>
      <c r="G39" s="29"/>
      <c r="H39" s="91">
        <v>1</v>
      </c>
    </row>
    <row r="40" spans="1:8" x14ac:dyDescent="0.25">
      <c r="A40" s="66" t="s">
        <v>104</v>
      </c>
      <c r="B40" s="66" t="s">
        <v>103</v>
      </c>
      <c r="C40" s="39">
        <f>((C36*(C15^2)*C39)/1000)*((2*PI())*$C$10)</f>
        <v>2816.3679449226333</v>
      </c>
      <c r="D40" s="7">
        <f>((D36*(C15^2)*D39)/1000)*((2*PI())*$C$10)</f>
        <v>2270.2808532397999</v>
      </c>
      <c r="E40" s="7">
        <f>((E36*(C15^2)*E39)/1000)*((2*PI())*$C$10)</f>
        <v>2661.1350660686303</v>
      </c>
      <c r="F40" s="7">
        <f>((F36*(C15^2)*F39)/1000)*((2*PI())*$C$10)</f>
        <v>1635.489259354679</v>
      </c>
      <c r="G40" s="31" t="s">
        <v>12</v>
      </c>
      <c r="H40" s="74">
        <f>((H36*($C$15^2)*H39)/1000)*((2*PI())*$C$10)</f>
        <v>1496.8884746636045</v>
      </c>
    </row>
    <row r="41" spans="1:8" x14ac:dyDescent="0.25">
      <c r="A41" s="66" t="s">
        <v>21</v>
      </c>
      <c r="B41" s="66" t="s">
        <v>90</v>
      </c>
      <c r="C41" s="40">
        <f>C40/$C$19</f>
        <v>14.081839724613166</v>
      </c>
      <c r="D41" s="16">
        <f>D40/$C$19</f>
        <v>11.351404266198999</v>
      </c>
      <c r="E41" s="16">
        <f>E40/$C$19</f>
        <v>13.305675330343151</v>
      </c>
      <c r="F41" s="16">
        <f>F40/$C$19</f>
        <v>8.177446296773395</v>
      </c>
      <c r="G41" s="31"/>
      <c r="H41" s="75">
        <f>H40/$C$19</f>
        <v>7.4844423733180223</v>
      </c>
    </row>
    <row r="42" spans="1:8" x14ac:dyDescent="0.25">
      <c r="A42" s="66" t="s">
        <v>97</v>
      </c>
      <c r="B42" s="66" t="s">
        <v>98</v>
      </c>
      <c r="C42" s="39">
        <f>($C$20*70.7)/(4.44*(C39*C37)*$C$15*$C$7)</f>
        <v>1072.5842747301679</v>
      </c>
      <c r="D42" s="7">
        <f>($C$20*70.7)/(4.44*(D39*D37)*$C$15*$C$7)</f>
        <v>939.23595949344451</v>
      </c>
      <c r="E42" s="7">
        <f>($C$20*70.7)/(4.44*(E39*E37)*$C$15*$C$7)</f>
        <v>659.84298420109053</v>
      </c>
      <c r="F42" s="7">
        <f>($C$20*70.7)/(4.44*(F39*F37)*$C$15*$C$7)</f>
        <v>659.84298420109053</v>
      </c>
      <c r="G42" s="31" t="s">
        <v>2</v>
      </c>
      <c r="H42" s="74">
        <f>($C$20*70.7)/(4.44*(H39*H37)*$C$15*$C$7)</f>
        <v>1399.3985436747964</v>
      </c>
    </row>
    <row r="43" spans="1:8" x14ac:dyDescent="0.25">
      <c r="A43" s="66" t="s">
        <v>99</v>
      </c>
      <c r="B43" s="66" t="s">
        <v>100</v>
      </c>
      <c r="C43" s="39">
        <f>($C$21*70.7)/(4.44*(C39*C37)*$C$15*$C$7)</f>
        <v>1857.7704592320658</v>
      </c>
      <c r="D43" s="7">
        <f>($C$21*70.7)/(4.44*(D39*D37)*$C$15*$C$7)</f>
        <v>1626.8044021383498</v>
      </c>
      <c r="E43" s="7">
        <f>($C$21*70.7)/(4.44*(E39*E37)*$C$15*$C$7)</f>
        <v>1142.8815736541569</v>
      </c>
      <c r="F43" s="7">
        <f>($C$21*70.7)/(4.44*(F39*F37)*$C$15*$C$7)</f>
        <v>1142.8815736541569</v>
      </c>
      <c r="G43" s="31" t="s">
        <v>2</v>
      </c>
      <c r="H43" s="74">
        <f>($C$21*70.7)/(4.44*(H39*H37)*$C$15*$C$7)</f>
        <v>2423.8293776826417</v>
      </c>
    </row>
    <row r="44" spans="1:8" ht="15.75" thickBot="1" x14ac:dyDescent="0.3">
      <c r="A44" s="67" t="s">
        <v>101</v>
      </c>
      <c r="B44" s="67" t="s">
        <v>102</v>
      </c>
      <c r="C44" s="41">
        <f>($C$22*70.7)/(4.44*(C39*C37)*$C$15*$C$7)</f>
        <v>3391.8092906271136</v>
      </c>
      <c r="D44" s="15">
        <f>($C$22*70.7)/(4.44*(D39*D37)*$C$15*$C$7)</f>
        <v>2970.1248923329322</v>
      </c>
      <c r="E44" s="15">
        <f>($C$22*70.7)/(4.44*(E39*E37)*$C$15*$C$7)</f>
        <v>2086.6067281579458</v>
      </c>
      <c r="F44" s="15">
        <f>($C$22*70.7)/(4.44*(F39*F37)*$C$15*$C$7)</f>
        <v>2086.6067281579458</v>
      </c>
      <c r="G44" s="32" t="s">
        <v>2</v>
      </c>
      <c r="H44" s="76">
        <f>($C$22*70.7)/(4.44*(H39*H37)*$C$15*$C$7)</f>
        <v>4425.2867523349723</v>
      </c>
    </row>
    <row r="45" spans="1:8" ht="16.5" thickTop="1" thickBot="1" x14ac:dyDescent="0.3">
      <c r="A45" s="42" t="s">
        <v>94</v>
      </c>
      <c r="B45" s="18"/>
      <c r="C45" s="68"/>
      <c r="D45" s="68"/>
      <c r="E45" s="68"/>
      <c r="F45" s="18"/>
    </row>
    <row r="46" spans="1:8" ht="15.75" thickTop="1" x14ac:dyDescent="0.25">
      <c r="A46" s="12" t="s">
        <v>14</v>
      </c>
      <c r="B46" s="34" t="s">
        <v>7</v>
      </c>
      <c r="C46" s="57" t="s">
        <v>23</v>
      </c>
      <c r="D46" s="58" t="s">
        <v>8</v>
      </c>
      <c r="E46" s="58" t="s">
        <v>9</v>
      </c>
      <c r="F46" s="58" t="s">
        <v>10</v>
      </c>
      <c r="G46" s="9"/>
      <c r="H46" s="77" t="s">
        <v>113</v>
      </c>
    </row>
    <row r="47" spans="1:8" x14ac:dyDescent="0.25">
      <c r="A47" s="13" t="s">
        <v>57</v>
      </c>
      <c r="B47" s="35" t="s">
        <v>58</v>
      </c>
      <c r="C47" s="59">
        <v>75</v>
      </c>
      <c r="D47" s="60">
        <v>80</v>
      </c>
      <c r="E47" s="60">
        <v>140</v>
      </c>
      <c r="F47" s="60">
        <v>170</v>
      </c>
      <c r="G47" s="29" t="s">
        <v>53</v>
      </c>
      <c r="H47" s="78">
        <v>6000</v>
      </c>
    </row>
    <row r="48" spans="1:8" x14ac:dyDescent="0.25">
      <c r="A48" s="13" t="s">
        <v>48</v>
      </c>
      <c r="B48" s="37" t="s">
        <v>3</v>
      </c>
      <c r="C48" s="59">
        <v>0.24299999999999999</v>
      </c>
      <c r="D48" s="60">
        <v>0.37</v>
      </c>
      <c r="E48" s="60">
        <v>0.79</v>
      </c>
      <c r="F48" s="60">
        <v>1.58</v>
      </c>
      <c r="G48" s="29" t="s">
        <v>52</v>
      </c>
      <c r="H48" s="78">
        <v>3.45</v>
      </c>
    </row>
    <row r="49" spans="1:8" x14ac:dyDescent="0.25">
      <c r="A49" s="69" t="s">
        <v>79</v>
      </c>
      <c r="B49" s="36" t="s">
        <v>80</v>
      </c>
      <c r="C49" s="61">
        <v>2350</v>
      </c>
      <c r="D49" s="62">
        <v>2350</v>
      </c>
      <c r="E49" s="62">
        <v>2350</v>
      </c>
      <c r="F49" s="62">
        <v>2350</v>
      </c>
      <c r="G49" s="30" t="s">
        <v>2</v>
      </c>
      <c r="H49" s="79">
        <v>2900</v>
      </c>
    </row>
    <row r="50" spans="1:8" x14ac:dyDescent="0.25">
      <c r="A50" s="13" t="s">
        <v>38</v>
      </c>
      <c r="B50" s="35" t="s">
        <v>37</v>
      </c>
      <c r="C50" s="38">
        <v>10</v>
      </c>
      <c r="D50" s="2">
        <v>8</v>
      </c>
      <c r="E50" s="2">
        <v>6</v>
      </c>
      <c r="F50" s="2">
        <v>4</v>
      </c>
      <c r="G50" s="29"/>
      <c r="H50" s="91">
        <v>1</v>
      </c>
    </row>
    <row r="51" spans="1:8" x14ac:dyDescent="0.25">
      <c r="A51" s="66" t="s">
        <v>104</v>
      </c>
      <c r="B51" s="66" t="s">
        <v>103</v>
      </c>
      <c r="C51" s="39">
        <f>((C47*(C15^2)*C50)/1000)*((2*PI())*$C$10)</f>
        <v>207.90117703661173</v>
      </c>
      <c r="D51" s="7">
        <f>((D47*(C15^2)*D50)/1000)*((2*PI())*$C$10)</f>
        <v>177.40900440457534</v>
      </c>
      <c r="E51" s="7">
        <f>((E47*(C15^2)*E50)/1000)*((2*PI())*$C$10)</f>
        <v>232.84931828100514</v>
      </c>
      <c r="F51" s="7">
        <f>((F47*(C15^2)*F50)/1000)*((2*PI())*$C$10)</f>
        <v>188.49706717986132</v>
      </c>
      <c r="G51" s="31" t="s">
        <v>12</v>
      </c>
      <c r="H51" s="74">
        <f>((H47*($C$15^2)*H50)/1000)*((2*PI())*$C$10)</f>
        <v>1663.2094162928938</v>
      </c>
    </row>
    <row r="52" spans="1:8" x14ac:dyDescent="0.25">
      <c r="A52" s="66" t="s">
        <v>21</v>
      </c>
      <c r="B52" s="66" t="s">
        <v>90</v>
      </c>
      <c r="C52" s="40">
        <f>C51/$C$19</f>
        <v>1.0395058851830585</v>
      </c>
      <c r="D52" s="16">
        <f>D51/$C$19</f>
        <v>0.88704502202287672</v>
      </c>
      <c r="E52" s="16">
        <f>E51/$C$19</f>
        <v>1.1642465914050257</v>
      </c>
      <c r="F52" s="16">
        <f>F51/$C$19</f>
        <v>0.94248533589930661</v>
      </c>
      <c r="G52" s="33"/>
      <c r="H52" s="75">
        <f>H51/$C$19</f>
        <v>8.3160470814644682</v>
      </c>
    </row>
    <row r="53" spans="1:8" x14ac:dyDescent="0.25">
      <c r="A53" s="66" t="s">
        <v>97</v>
      </c>
      <c r="B53" s="66" t="s">
        <v>98</v>
      </c>
      <c r="C53" s="39">
        <f>($C$20*70.7)/(4.44*(C50*C48)*$C$15*$C$7)</f>
        <v>858.06741978413459</v>
      </c>
      <c r="D53" s="7">
        <f>($C$20*70.7)/(4.44*(D50*D48)*$C$15*$C$7)</f>
        <v>704.42696962008336</v>
      </c>
      <c r="E53" s="7">
        <f>($C$20*70.7)/(4.44*(E50*E48)*$C$15*$C$7)</f>
        <v>439.89532280072706</v>
      </c>
      <c r="F53" s="7">
        <f>($C$20*70.7)/(4.44*(F50*F48)*$C$15*$C$7)</f>
        <v>329.92149210054527</v>
      </c>
      <c r="G53" s="33" t="s">
        <v>2</v>
      </c>
      <c r="H53" s="74">
        <f>($C$20*70.7)/(4.44*(H50*H48)*$C$15*$C$7)</f>
        <v>604.3779217609989</v>
      </c>
    </row>
    <row r="54" spans="1:8" x14ac:dyDescent="0.25">
      <c r="A54" s="66" t="s">
        <v>99</v>
      </c>
      <c r="B54" s="66" t="s">
        <v>100</v>
      </c>
      <c r="C54" s="39">
        <f>($C$21*70.7)/(4.44*(C50*C48)*$C$15*$C$7)</f>
        <v>1486.2163673856533</v>
      </c>
      <c r="D54" s="7">
        <f>($C$21*70.7)/(4.44*(D50*D48)*$C$15*$C$7)</f>
        <v>1220.1033016037625</v>
      </c>
      <c r="E54" s="7">
        <f>($C$21*70.7)/(4.44*(E50*E48)*$C$15*$C$7)</f>
        <v>761.92104910277135</v>
      </c>
      <c r="F54" s="7">
        <f>($C$21*70.7)/(4.44*(F50*F48)*$C$15*$C$7)</f>
        <v>571.44078682707845</v>
      </c>
      <c r="G54" s="31" t="s">
        <v>2</v>
      </c>
      <c r="H54" s="74">
        <f>($C$21*70.7)/(4.44*(H50*H48)*$C$15*$C$7)</f>
        <v>1046.8132674629378</v>
      </c>
    </row>
    <row r="55" spans="1:8" ht="15.75" thickBot="1" x14ac:dyDescent="0.3">
      <c r="A55" s="67" t="s">
        <v>101</v>
      </c>
      <c r="B55" s="67" t="s">
        <v>102</v>
      </c>
      <c r="C55" s="41">
        <f>($C$22*70.7)/(4.44*(C50*C48)*$C$15*$C$7)</f>
        <v>2713.4474325016918</v>
      </c>
      <c r="D55" s="15">
        <f>($C$22*70.7)/(4.44*(D50*D48)*$C$15*$C$7)</f>
        <v>2227.5936692496994</v>
      </c>
      <c r="E55" s="15">
        <f>($C$22*70.7)/(4.44*(E50*E48)*$C$15*$C$7)</f>
        <v>1391.0711521052972</v>
      </c>
      <c r="F55" s="15">
        <f>($C$22*70.7)/(4.44*(F50*F48)*$C$15*$C$7)</f>
        <v>1043.3033640789729</v>
      </c>
      <c r="G55" s="32" t="s">
        <v>2</v>
      </c>
      <c r="H55" s="76">
        <f>($C$22*70.7)/(4.44*(H50*H48)*$C$15*$C$7)</f>
        <v>1911.2108002837995</v>
      </c>
    </row>
    <row r="56" spans="1:8" ht="15.75" thickTop="1" x14ac:dyDescent="0.25">
      <c r="A56" s="17" t="s">
        <v>69</v>
      </c>
    </row>
    <row r="57" spans="1:8" x14ac:dyDescent="0.25">
      <c r="A57" s="26" t="s">
        <v>44</v>
      </c>
    </row>
    <row r="58" spans="1:8" x14ac:dyDescent="0.25">
      <c r="A58" s="42" t="s">
        <v>63</v>
      </c>
      <c r="B58" s="43" t="s">
        <v>64</v>
      </c>
      <c r="C58" s="44" t="s">
        <v>65</v>
      </c>
    </row>
    <row r="59" spans="1:8" x14ac:dyDescent="0.25">
      <c r="A59" s="42" t="s">
        <v>63</v>
      </c>
      <c r="B59" s="43" t="s">
        <v>66</v>
      </c>
    </row>
    <row r="60" spans="1:8" x14ac:dyDescent="0.25">
      <c r="A60" s="42" t="s">
        <v>67</v>
      </c>
      <c r="B60" s="43" t="s">
        <v>68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D2:E2"/>
    <mergeCell ref="F2:G2"/>
    <mergeCell ref="E21:G21"/>
    <mergeCell ref="E22:G22"/>
  </mergeCells>
  <phoneticPr fontId="6" type="noConversion"/>
  <conditionalFormatting sqref="C53:F55">
    <cfRule type="cellIs" dxfId="11" priority="1" stopIfTrue="1" operator="greaterThan">
      <formula>$C$49*0.8</formula>
    </cfRule>
  </conditionalFormatting>
  <conditionalFormatting sqref="C30:F32 H30:H32 H42:H44 H53:H55">
    <cfRule type="cellIs" dxfId="10" priority="2" stopIfTrue="1" operator="greaterThan">
      <formula>$C$26*0.8</formula>
    </cfRule>
  </conditionalFormatting>
  <conditionalFormatting sqref="C42:F44">
    <cfRule type="cellIs" dxfId="9" priority="3" stopIfTrue="1" operator="greaterThan">
      <formula>$C$38*0.8</formula>
    </cfRule>
  </conditionalFormatting>
  <conditionalFormatting sqref="C16">
    <cfRule type="cellIs" dxfId="8" priority="4" stopIfTrue="1" operator="between">
      <formula>12.5</formula>
      <formula>16</formula>
    </cfRule>
    <cfRule type="cellIs" dxfId="7" priority="5" stopIfTrue="1" operator="greaterThan">
      <formula>16</formula>
    </cfRule>
  </conditionalFormatting>
  <conditionalFormatting sqref="C21:C22 C12:C13">
    <cfRule type="cellIs" dxfId="6" priority="6" stopIfTrue="1" operator="greaterThan">
      <formula>1000</formula>
    </cfRule>
  </conditionalFormatting>
  <conditionalFormatting sqref="C7">
    <cfRule type="cellIs" dxfId="5" priority="7" stopIfTrue="1" operator="greaterThan">
      <formula>55</formula>
    </cfRule>
  </conditionalFormatting>
  <conditionalFormatting sqref="C29:F29 C41:F41 C52:F52 H29 H41 H52">
    <cfRule type="cellIs" dxfId="4" priority="8" stopIfTrue="1" operator="lessThan">
      <formula>1.5</formula>
    </cfRule>
    <cfRule type="cellIs" dxfId="3" priority="9" stopIfTrue="1" operator="between">
      <formula>1.5</formula>
      <formula>2.8</formula>
    </cfRule>
  </conditionalFormatting>
  <conditionalFormatting sqref="C8">
    <cfRule type="cellIs" dxfId="2" priority="10" stopIfTrue="1" operator="lessThanOrEqual">
      <formula>$C$7</formula>
    </cfRule>
    <cfRule type="cellIs" dxfId="1" priority="11" stopIfTrue="1" operator="greaterThan">
      <formula>60</formula>
    </cfRule>
    <cfRule type="expression" dxfId="0" priority="12" stopIfTrue="1">
      <formula>$C$8-$C$7&gt;30</formula>
    </cfRule>
  </conditionalFormatting>
  <hyperlinks>
    <hyperlink ref="F2" r:id="rId1"/>
    <hyperlink ref="D2" r:id="rId2"/>
    <hyperlink ref="B58" r:id="rId3"/>
    <hyperlink ref="C58" r:id="rId4"/>
    <hyperlink ref="B59" r:id="rId5"/>
    <hyperlink ref="B60" r:id="rId6"/>
    <hyperlink ref="E21" r:id="rId7"/>
    <hyperlink ref="E21:G21" location="'TUBING PTFE'!A1" display="PTFE SPAGHETTIS TEFLON"/>
  </hyperlinks>
  <printOptions horizontalCentered="1" verticalCentered="1"/>
  <pageMargins left="0.39370078740157483" right="0.39370078740157483" top="0.19685039370078741" bottom="0.19685039370078741" header="0" footer="0"/>
  <pageSetup paperSize="9" scale="64" orientation="landscape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"/>
  <sheetViews>
    <sheetView zoomScaleNormal="100" workbookViewId="0"/>
  </sheetViews>
  <sheetFormatPr baseColWidth="10" defaultRowHeight="15" x14ac:dyDescent="0.25"/>
  <cols>
    <col min="8" max="8" width="16.85546875" customWidth="1"/>
    <col min="9" max="9" width="21.7109375" customWidth="1"/>
  </cols>
  <sheetData/>
  <sheetProtection sheet="1" formatCells="0" formatColumns="0" formatRows="0" insertColumns="0" insertRows="0" insertHyperlinks="0" deleteColumns="0" deleteRows="0" sort="0" autoFilter="0" pivotTables="0"/>
  <phoneticPr fontId="6" type="noConversion"/>
  <pageMargins left="0.78740157499999996" right="0.78740157499999996" top="0.984251969" bottom="0.984251969" header="0.4921259845" footer="0.4921259845"/>
  <pageSetup paperSize="9" scale="88" orientation="portrait" horizontalDpi="1200" verticalDpi="1200" r:id="rId1"/>
  <headerFooter alignWithMargins="0"/>
  <colBreaks count="1" manualBreakCount="1">
    <brk id="8" max="4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J1"/>
  <sheetViews>
    <sheetView zoomScaleNormal="100" workbookViewId="0">
      <selection sqref="A1:J1"/>
    </sheetView>
  </sheetViews>
  <sheetFormatPr baseColWidth="10" defaultRowHeight="15" x14ac:dyDescent="0.25"/>
  <cols>
    <col min="10" max="10" width="14.7109375" customWidth="1"/>
  </cols>
  <sheetData>
    <row r="1" spans="1:10" x14ac:dyDescent="0.25">
      <c r="A1" s="99" t="s">
        <v>87</v>
      </c>
      <c r="B1" s="100"/>
      <c r="C1" s="100"/>
      <c r="D1" s="100"/>
      <c r="E1" s="100"/>
      <c r="F1" s="100"/>
      <c r="G1" s="100"/>
      <c r="H1" s="100"/>
      <c r="I1" s="100"/>
      <c r="J1" s="100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J1"/>
  </mergeCells>
  <phoneticPr fontId="6" type="noConversion"/>
  <pageMargins left="0.78740157499999996" right="0.78740157499999996" top="0.984251969" bottom="0.984251969" header="0.4921259845" footer="0.4921259845"/>
  <pageSetup paperSize="9" scale="48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"/>
  <sheetViews>
    <sheetView workbookViewId="0">
      <selection activeCell="A16" sqref="A16"/>
    </sheetView>
  </sheetViews>
  <sheetFormatPr baseColWidth="10" defaultRowHeight="15" x14ac:dyDescent="0.25"/>
  <sheetData/>
  <sheetProtection sheet="1" formatCells="0" formatColumns="0" formatRows="0" insertColumns="0" insertRows="0" insertHyperlinks="0" deleteColumns="0" deleteRows="0" sort="0" autoFilter="0" pivotTables="0"/>
  <phoneticPr fontId="6" type="noConversion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REVISIONS</vt:lpstr>
      <vt:lpstr>DESIGN 43, 77 &amp; 61</vt:lpstr>
      <vt:lpstr>PTFE WIRES</vt:lpstr>
      <vt:lpstr>TUBING PTFE</vt:lpstr>
      <vt:lpstr>NOTA</vt:lpstr>
      <vt:lpstr>'DESIGN 43, 77 &amp; 61'!Zone_d_impression</vt:lpstr>
      <vt:lpstr>'PTFE WIRES'!Zone_d_impression</vt:lpstr>
      <vt:lpstr>'TUBING PTFE'!Zone_d_impression</vt:lpstr>
    </vt:vector>
  </TitlesOfParts>
  <Company>Amateur Radio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Van Nieuwenhoven</dc:creator>
  <cp:lastModifiedBy>Jean Van Nieuwenhoven</cp:lastModifiedBy>
  <cp:lastPrinted>2011-07-17T09:30:26Z</cp:lastPrinted>
  <dcterms:created xsi:type="dcterms:W3CDTF">2008-08-28T11:30:56Z</dcterms:created>
  <dcterms:modified xsi:type="dcterms:W3CDTF">2019-02-07T08:43:13Z</dcterms:modified>
</cp:coreProperties>
</file>