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5120" windowHeight="8010" activeTab="1"/>
  </bookViews>
  <sheets>
    <sheet name="REVISIONS" sheetId="3" r:id="rId1"/>
    <sheet name="DESIGN 43, 77 &amp; 61" sheetId="1" r:id="rId2"/>
    <sheet name="PTFE WIRES" sheetId="4" r:id="rId3"/>
    <sheet name="PTFE TUBING" sheetId="2" r:id="rId4"/>
    <sheet name="MEASUREMENTS" sheetId="5" r:id="rId5"/>
  </sheets>
  <definedNames>
    <definedName name="_xlnm.Print_Area" localSheetId="1">'DESIGN 43, 77 &amp; 61'!$A$1:$M$64</definedName>
    <definedName name="_xlnm.Print_Area" localSheetId="4">MEASUREMENTS!$A$1:$M$57</definedName>
    <definedName name="_xlnm.Print_Area" localSheetId="3">'PTFE TUBING'!$A$1:$J$57</definedName>
    <definedName name="_xlnm.Print_Area" localSheetId="2">'PTFE WIRES'!$A$1:$I$44</definedName>
  </definedNames>
  <calcPr calcId="145621"/>
</workbook>
</file>

<file path=xl/calcChain.xml><?xml version="1.0" encoding="utf-8"?>
<calcChain xmlns="http://schemas.openxmlformats.org/spreadsheetml/2006/main">
  <c r="C12" i="1" l="1"/>
  <c r="C15" i="1" s="1"/>
  <c r="C16" i="1" s="1"/>
  <c r="D17" i="1" s="1"/>
  <c r="C21" i="1"/>
  <c r="C23" i="1" s="1"/>
  <c r="C24" i="1"/>
  <c r="C49" i="1" s="1"/>
  <c r="C14" i="1"/>
  <c r="C13" i="1"/>
  <c r="C11" i="1"/>
  <c r="F57" i="1" s="1"/>
  <c r="F58" i="1" s="1"/>
  <c r="E57" i="1"/>
  <c r="D57" i="1"/>
  <c r="D58" i="1" s="1"/>
  <c r="C57" i="1"/>
  <c r="E45" i="1"/>
  <c r="D45" i="1"/>
  <c r="C45" i="1"/>
  <c r="E32" i="1"/>
  <c r="E33" i="1" s="1"/>
  <c r="D32" i="1"/>
  <c r="C32" i="1"/>
  <c r="E51" i="1"/>
  <c r="D51" i="1"/>
  <c r="C51" i="1"/>
  <c r="F39" i="1"/>
  <c r="E39" i="1"/>
  <c r="D39" i="1"/>
  <c r="C39" i="1"/>
  <c r="F26" i="1"/>
  <c r="E26" i="1"/>
  <c r="D26" i="1"/>
  <c r="C26" i="1"/>
  <c r="D49" i="1"/>
  <c r="E46" i="1"/>
  <c r="D46" i="1"/>
  <c r="E58" i="1"/>
  <c r="D61" i="1"/>
  <c r="F36" i="1"/>
  <c r="D33" i="1"/>
  <c r="F60" i="1" l="1"/>
  <c r="E35" i="1"/>
  <c r="C48" i="1"/>
  <c r="F35" i="1"/>
  <c r="C60" i="1"/>
  <c r="F48" i="1"/>
  <c r="D60" i="1"/>
  <c r="C35" i="1"/>
  <c r="D35" i="1"/>
  <c r="E48" i="1"/>
  <c r="E60" i="1"/>
  <c r="D48" i="1"/>
  <c r="D36" i="1"/>
  <c r="C58" i="1"/>
  <c r="F49" i="1"/>
  <c r="E36" i="1"/>
  <c r="F61" i="1"/>
  <c r="F32" i="1"/>
  <c r="F33" i="1" s="1"/>
  <c r="F45" i="1"/>
  <c r="F46" i="1" s="1"/>
  <c r="C22" i="1"/>
  <c r="C61" i="1"/>
  <c r="E49" i="1"/>
  <c r="C36" i="1"/>
  <c r="E61" i="1"/>
  <c r="C46" i="1"/>
  <c r="C33" i="1"/>
  <c r="C47" i="1" l="1"/>
  <c r="C59" i="1"/>
  <c r="E47" i="1"/>
  <c r="E59" i="1"/>
  <c r="C34" i="1"/>
  <c r="F47" i="1"/>
  <c r="D59" i="1"/>
  <c r="F34" i="1"/>
  <c r="F59" i="1"/>
  <c r="E34" i="1"/>
  <c r="D34" i="1"/>
  <c r="D47" i="1"/>
</calcChain>
</file>

<file path=xl/sharedStrings.xml><?xml version="1.0" encoding="utf-8"?>
<sst xmlns="http://schemas.openxmlformats.org/spreadsheetml/2006/main" count="195" uniqueCount="122">
  <si>
    <t>Volts</t>
  </si>
  <si>
    <t>MHz</t>
  </si>
  <si>
    <t>Gauss</t>
  </si>
  <si>
    <t>Section</t>
  </si>
  <si>
    <t>Tores</t>
  </si>
  <si>
    <t>Watts</t>
  </si>
  <si>
    <t>Toroids</t>
  </si>
  <si>
    <t>Section d'un tore</t>
  </si>
  <si>
    <t>Input data: Black on blue</t>
  </si>
  <si>
    <t>Données d'entrée: Noir sur fond bleu</t>
  </si>
  <si>
    <t>Nb de tores empilés</t>
  </si>
  <si>
    <t>Transfer ratio</t>
  </si>
  <si>
    <t>Rapport de transformation</t>
  </si>
  <si>
    <t>Ratio secondary impedance / load impedance</t>
  </si>
  <si>
    <t>Rapport impedance secondaire / impedance charge</t>
  </si>
  <si>
    <t>Peak RF voltage at primary (1/1 SWR)</t>
  </si>
  <si>
    <t>Tension HF crête au primaire (TOS 1/1)</t>
  </si>
  <si>
    <t>Peak RF voltage at primary (3/1 SWR)</t>
  </si>
  <si>
    <t>Tension HF crête au primaire (TOS 3/1)</t>
  </si>
  <si>
    <t>Peak RF voltage at primary (10/1 SWR)</t>
  </si>
  <si>
    <t>Tension HF crête au primaire (TOS 10/1)</t>
  </si>
  <si>
    <t>Tension crête HF au secondaire (TOS 1/1)</t>
  </si>
  <si>
    <t>Tension crête HF au secondaire (TOS 3/1)</t>
  </si>
  <si>
    <t>Tension crête HF au secondaire (TOS 10/1)</t>
  </si>
  <si>
    <t>Secondary peak RF voltage (SWR 1/1)</t>
  </si>
  <si>
    <t>Secondary peak RF voltage (SWR 3/1)</t>
  </si>
  <si>
    <t>Secondary peak RF voltage (SWR 10/1)</t>
  </si>
  <si>
    <t>f1frv@sfr.fr</t>
  </si>
  <si>
    <t>http://f1frv.free.fr</t>
  </si>
  <si>
    <t>Turns number of bi/tri/quadrifilar inside toroid</t>
  </si>
  <si>
    <t>Nb de tours bi/tri/quadrifilaires à l'intérieur du tore</t>
  </si>
  <si>
    <t>QUELQUES EXEMPLES / SOME EXAMPLES</t>
  </si>
  <si>
    <t>Résultats non acceptables: Noir sur fond rouge</t>
  </si>
  <si>
    <t>Non acceptable results: Black on red</t>
  </si>
  <si>
    <t>Best results: Red on yellow</t>
  </si>
  <si>
    <t>Meilleurs résultats: Rouge sur fond jaune</t>
  </si>
  <si>
    <t>!!! INSULATION / ISOLATION</t>
  </si>
  <si>
    <t>Résultats (passables) admissibles: Noir sur fond orange</t>
  </si>
  <si>
    <t>Nb of stacked toroids</t>
  </si>
  <si>
    <t>Made by F1FRV</t>
  </si>
  <si>
    <t>1 toroid cross sectional area</t>
  </si>
  <si>
    <t>cm2</t>
  </si>
  <si>
    <t>nH/sp2</t>
  </si>
  <si>
    <t>Ohms</t>
  </si>
  <si>
    <t>Admissible (not the best) results: Black on orange</t>
  </si>
  <si>
    <t>BALUNS</t>
  </si>
  <si>
    <r>
      <t xml:space="preserve">Inductance specifique (Al) </t>
    </r>
    <r>
      <rPr>
        <b/>
        <sz val="11"/>
        <color indexed="10"/>
        <rFont val="Calibri"/>
        <family val="2"/>
      </rPr>
      <t>nominale (+/- 20%)</t>
    </r>
    <r>
      <rPr>
        <sz val="11"/>
        <color theme="1"/>
        <rFont val="Calibri"/>
        <family val="2"/>
        <scheme val="minor"/>
      </rPr>
      <t xml:space="preserve"> d'un tore</t>
    </r>
  </si>
  <si>
    <r>
      <t xml:space="preserve">1 toroid </t>
    </r>
    <r>
      <rPr>
        <b/>
        <sz val="11"/>
        <color indexed="10"/>
        <rFont val="Calibri"/>
        <family val="2"/>
      </rPr>
      <t>nominal (+/- 20%)</t>
    </r>
    <r>
      <rPr>
        <sz val="11"/>
        <color theme="1"/>
        <rFont val="Calibri"/>
        <family val="2"/>
        <scheme val="minor"/>
      </rPr>
      <t xml:space="preserve"> specific inductance (Al)</t>
    </r>
  </si>
  <si>
    <t>TOROIDS SUPPLIERS / FOURNISSEURS DE TORES</t>
  </si>
  <si>
    <t>http://partsandkits.com/toroids.php</t>
  </si>
  <si>
    <t>https://www.amidoncorp.com/categories/7</t>
  </si>
  <si>
    <t>http://www.cwsbytemark.com/index.php?main_page=index&amp;cPath=206_221</t>
  </si>
  <si>
    <t>TOROIDS DATA / DONNEES DES TORES</t>
  </si>
  <si>
    <t>http://www.fair-rite.com/newfair/catalog.htm</t>
  </si>
  <si>
    <t>Acc. to ISO 9000     HI ...</t>
  </si>
  <si>
    <t>mm</t>
  </si>
  <si>
    <t>PTFE SPAGHETTIS TEFLON</t>
  </si>
  <si>
    <t>RF TRANSFORMERS, BALUNS &amp; UNUNS CALCULATIONS</t>
  </si>
  <si>
    <t>CALCUL DES TRANSFORMATEURS HF, BALUNS ET UNUNS</t>
  </si>
  <si>
    <t>mm2</t>
  </si>
  <si>
    <r>
      <t>Maximum</t>
    </r>
    <r>
      <rPr>
        <sz val="11"/>
        <color theme="1"/>
        <rFont val="Calibri"/>
        <family val="2"/>
        <scheme val="minor"/>
      </rPr>
      <t xml:space="preserve"> flux density for material</t>
    </r>
  </si>
  <si>
    <r>
      <t xml:space="preserve">Flux </t>
    </r>
    <r>
      <rPr>
        <b/>
        <sz val="11"/>
        <color indexed="10"/>
        <rFont val="Calibri"/>
        <family val="2"/>
      </rPr>
      <t>maximum</t>
    </r>
    <r>
      <rPr>
        <sz val="11"/>
        <rFont val="Calibri"/>
        <family val="2"/>
      </rPr>
      <t xml:space="preserve"> pour le materiau</t>
    </r>
  </si>
  <si>
    <t>FTxxx-xx</t>
  </si>
  <si>
    <t>UNUNS</t>
  </si>
  <si>
    <t>Diamètre intérieur du tore</t>
  </si>
  <si>
    <t>Toroid internal diameter</t>
  </si>
  <si>
    <t>RF Power (PEP)</t>
  </si>
  <si>
    <t>Puissance HF (crête)</t>
  </si>
  <si>
    <t>Checked by F2MM</t>
  </si>
  <si>
    <r>
      <t xml:space="preserve">IF TOROID REF. IS </t>
    </r>
    <r>
      <rPr>
        <b/>
        <sz val="10"/>
        <color indexed="10"/>
        <rFont val="Calibri"/>
        <family val="2"/>
      </rPr>
      <t>"TOO SMALL"</t>
    </r>
    <r>
      <rPr>
        <b/>
        <sz val="10"/>
        <color indexed="12"/>
        <rFont val="Calibri"/>
        <family val="2"/>
      </rPr>
      <t xml:space="preserve">, CAUSE IS: NOT ENOUGH ROOM TO PLACE ALL WIRES.   SI LA REF. DU TORE EST </t>
    </r>
    <r>
      <rPr>
        <b/>
        <sz val="10"/>
        <color indexed="10"/>
        <rFont val="Calibri"/>
        <family val="2"/>
      </rPr>
      <t>"TOO SMALL"</t>
    </r>
    <r>
      <rPr>
        <b/>
        <sz val="10"/>
        <color indexed="12"/>
        <rFont val="Calibri"/>
        <family val="2"/>
      </rPr>
      <t xml:space="preserve"> LA RAISON EST: PAS LA PLACE POUR TOUS LES FILS.</t>
    </r>
  </si>
  <si>
    <t>Diamètre extérieur des fils, sur isolant.</t>
  </si>
  <si>
    <t>Wires external diameter, on insulation.</t>
  </si>
  <si>
    <t>Bare coper diameter (solid wire)</t>
  </si>
  <si>
    <t>Diamètre du cuivre nu (monobrin)</t>
  </si>
  <si>
    <t>SEE OTHER SIMILAR DOCS IN DOWNLOADABLE DOCUMENTS  VOIR AUTRES DOCS SIMILAIRES DANS LES DOCUMENTS A TELECHARGER</t>
  </si>
  <si>
    <t>Flux @ TOS 1/1 (A limiter à 90% du max.)</t>
  </si>
  <si>
    <t>Flux @ TOS 3/1 (A limiter à 90% du max.)</t>
  </si>
  <si>
    <t>Flux @ TOS 10/1 (A limiter à 90% du max.)</t>
  </si>
  <si>
    <t>Flux density @ SWR 3/1 (To be limited to 90% of max.)</t>
  </si>
  <si>
    <t>Flux density @ SWR 1/1 (To be limited to 90% of max.)</t>
  </si>
  <si>
    <t>Flux density @ SWR 10/1 (To be limited to 90% of max.)</t>
  </si>
  <si>
    <t>Frequence de calcul pour impedance moyenne</t>
  </si>
  <si>
    <t>Design frequency for mean impedance</t>
  </si>
  <si>
    <t>Rev 0b</t>
  </si>
  <si>
    <t>February 04, 2011</t>
  </si>
  <si>
    <t>Minimum freq is still used for flux calculation.</t>
  </si>
  <si>
    <t>Minimum frequency of use</t>
  </si>
  <si>
    <t>Fréquence minimale de service</t>
  </si>
  <si>
    <t>Maximum frequency of use</t>
  </si>
  <si>
    <t>Fréquence maximale de service</t>
  </si>
  <si>
    <t>WIDEBAND 1,5 - 30 (24 - 54) MHz</t>
  </si>
  <si>
    <t>LARGE BANDE 1,5 - 30 (24 - 54) MHz</t>
  </si>
  <si>
    <t>Secondary coil mean impedance</t>
  </si>
  <si>
    <t>Impédance moyenne du bobinage secondaire</t>
  </si>
  <si>
    <t>/       1</t>
  </si>
  <si>
    <t>61 MATERIAL IS A GOOD CHOICE FOR HIGH BANDS (LOW VHF, LAND &amp; MOBILE).               LE MATERIAU 61 EST UN BON CHOIX POUR LES BANDES HAUTES (24-54 MHz).</t>
  </si>
  <si>
    <t>Added PTFE wires and tubings data, VNA measurements results</t>
  </si>
  <si>
    <r>
      <t xml:space="preserve">Created "mean" frequency for inductance calculations. </t>
    </r>
    <r>
      <rPr>
        <b/>
        <sz val="11"/>
        <color indexed="8"/>
        <rFont val="Calibri"/>
        <family val="2"/>
      </rPr>
      <t>Formula is: Fminimum +  11% of Bandwidth</t>
    </r>
  </si>
  <si>
    <t>February 05, 2011</t>
  </si>
  <si>
    <t>Section du cuivre @3,3 Amperes / mm2</t>
  </si>
  <si>
    <t>Coper cross sectional area @ 3,3 Amps / mm2</t>
  </si>
  <si>
    <t>Design current density back to 3,3A/mm2</t>
  </si>
  <si>
    <t>Rev 0b1</t>
  </si>
  <si>
    <r>
      <t xml:space="preserve">Corrected error in </t>
    </r>
    <r>
      <rPr>
        <b/>
        <sz val="11"/>
        <color indexed="8"/>
        <rFont val="Calibri"/>
        <family val="2"/>
      </rPr>
      <t>all peak voltage</t>
    </r>
    <r>
      <rPr>
        <sz val="11"/>
        <color theme="1"/>
        <rFont val="Calibri"/>
        <family val="2"/>
        <scheme val="minor"/>
      </rPr>
      <t xml:space="preserve"> calculations, were 1,414 time too high</t>
    </r>
  </si>
  <si>
    <t>Design current density was 3,3A/mm2, As power is PEP and ICAS, 6,6 A/mm2 is OK</t>
  </si>
  <si>
    <t>Impédance primaire (basse impedance)</t>
  </si>
  <si>
    <t>Primary impedance (low impedance)</t>
  </si>
  <si>
    <t>Load secondary impedance (high impedance)</t>
  </si>
  <si>
    <t>Impédance de charge secondaire (haute impedance)</t>
  </si>
  <si>
    <t>Rev 0b2</t>
  </si>
  <si>
    <t>April 27, 2011</t>
  </si>
  <si>
    <t>Added info about low &amp; high impedances for primary &amp; secondary</t>
  </si>
  <si>
    <t>Authorised up-to 5 wires instead of 4</t>
  </si>
  <si>
    <t>Nb of parallel wires in each turn (2, 3, 4, 5)</t>
  </si>
  <si>
    <t>Nb de fils parallèles pour chaque tour (2, 3, 4, 5)</t>
  </si>
  <si>
    <t>Rev 0b3</t>
  </si>
  <si>
    <t>Modified info about acceptables impedance ratios</t>
  </si>
  <si>
    <t>July 17, 2011</t>
  </si>
  <si>
    <t>rev 0b3</t>
  </si>
  <si>
    <t>July / Juin 2011</t>
  </si>
  <si>
    <r>
      <t xml:space="preserve">L'IMPEDANCE MOYENNE DU BOBINAGE DOIT ETRE IDEALEMENT ~2,8 FOIS L'IMPEDANCE DE LA CHARGE SECONDAIRE (ANTENNE). </t>
    </r>
    <r>
      <rPr>
        <b/>
        <sz val="11"/>
        <color indexed="10"/>
        <rFont val="Calibri"/>
        <family val="2"/>
      </rPr>
      <t>PERFORMANCES ACCEPTABLES DE 1,5 A ~6 FOIS.</t>
    </r>
  </si>
  <si>
    <r>
      <t xml:space="preserve">MEAN COIL IMPEDANCE MUST BE IDEALY ~2,8 TIMES SECONDARY LOAD (ANTENNA) IMPEDANCE. </t>
    </r>
    <r>
      <rPr>
        <b/>
        <sz val="11"/>
        <color indexed="10"/>
        <rFont val="Calibri"/>
        <family val="2"/>
      </rPr>
      <t>ACCEPTABLE PERFORMANCES FROM 1,5 TO ~6 TIMES.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</si>
</sst>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1"/>
      <color indexed="18"/>
      <name val="Calibri"/>
      <family val="2"/>
    </font>
    <font>
      <b/>
      <sz val="12"/>
      <color indexed="8"/>
      <name val="Calibri"/>
      <family val="2"/>
    </font>
    <font>
      <b/>
      <sz val="11"/>
      <color indexed="17"/>
      <name val="Calibri"/>
      <family val="2"/>
    </font>
    <font>
      <b/>
      <sz val="11"/>
      <color indexed="12"/>
      <name val="Calibri"/>
      <family val="2"/>
    </font>
    <font>
      <b/>
      <sz val="11"/>
      <color indexed="14"/>
      <name val="Calibri"/>
      <family val="2"/>
    </font>
    <font>
      <sz val="11"/>
      <color indexed="12"/>
      <name val="Calibri"/>
      <family val="2"/>
    </font>
    <font>
      <sz val="11"/>
      <color indexed="14"/>
      <name val="Calibri"/>
      <family val="2"/>
    </font>
    <font>
      <b/>
      <sz val="10"/>
      <color indexed="10"/>
      <name val="Calibri"/>
      <family val="2"/>
    </font>
    <font>
      <b/>
      <sz val="10"/>
      <color indexed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3" fillId="3" borderId="0" xfId="0" applyNumberFormat="1" applyFont="1" applyFill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1" xfId="0" applyBorder="1" applyProtection="1"/>
    <xf numFmtId="0" fontId="2" fillId="2" borderId="0" xfId="0" applyFont="1" applyFill="1" applyProtection="1"/>
    <xf numFmtId="0" fontId="3" fillId="3" borderId="0" xfId="0" applyFont="1" applyFill="1" applyProtection="1"/>
    <xf numFmtId="0" fontId="2" fillId="0" borderId="0" xfId="0" applyFont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3" fillId="3" borderId="0" xfId="0" applyFont="1" applyFill="1" applyAlignment="1" applyProtection="1">
      <alignment horizontal="center"/>
    </xf>
    <xf numFmtId="1" fontId="3" fillId="3" borderId="4" xfId="0" applyNumberFormat="1" applyFont="1" applyFill="1" applyBorder="1" applyAlignment="1" applyProtection="1">
      <alignment horizontal="center"/>
    </xf>
    <xf numFmtId="2" fontId="3" fillId="3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Alignment="1" applyProtection="1">
      <alignment horizontal="left"/>
    </xf>
    <xf numFmtId="0" fontId="0" fillId="0" borderId="0" xfId="0" applyFill="1" applyProtection="1"/>
    <xf numFmtId="0" fontId="4" fillId="0" borderId="0" xfId="0" applyFont="1" applyFill="1" applyProtection="1"/>
    <xf numFmtId="49" fontId="2" fillId="0" borderId="0" xfId="0" applyNumberFormat="1" applyFont="1" applyAlignment="1" applyProtection="1">
      <alignment horizontal="center"/>
    </xf>
    <xf numFmtId="0" fontId="6" fillId="0" borderId="0" xfId="0" applyFont="1" applyFill="1" applyProtection="1"/>
    <xf numFmtId="0" fontId="2" fillId="0" borderId="0" xfId="0" applyFont="1" applyFill="1" applyProtection="1"/>
    <xf numFmtId="0" fontId="2" fillId="0" borderId="3" xfId="0" applyFont="1" applyBorder="1" applyProtection="1"/>
    <xf numFmtId="0" fontId="0" fillId="0" borderId="5" xfId="0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2" fontId="3" fillId="3" borderId="5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6" fillId="5" borderId="0" xfId="0" applyFont="1" applyFill="1" applyProtection="1"/>
    <xf numFmtId="0" fontId="6" fillId="6" borderId="0" xfId="0" applyFont="1" applyFill="1" applyProtection="1"/>
    <xf numFmtId="0" fontId="11" fillId="0" borderId="0" xfId="0" applyFont="1" applyAlignment="1" applyProtection="1">
      <alignment horizontal="left"/>
    </xf>
    <xf numFmtId="0" fontId="0" fillId="0" borderId="2" xfId="0" applyFont="1" applyFill="1" applyBorder="1" applyProtection="1"/>
    <xf numFmtId="0" fontId="0" fillId="0" borderId="3" xfId="0" applyFill="1" applyBorder="1" applyProtection="1"/>
    <xf numFmtId="0" fontId="0" fillId="0" borderId="3" xfId="0" applyFont="1" applyFill="1" applyBorder="1" applyProtection="1"/>
    <xf numFmtId="0" fontId="4" fillId="4" borderId="3" xfId="0" applyFont="1" applyFill="1" applyBorder="1" applyProtection="1"/>
    <xf numFmtId="0" fontId="2" fillId="0" borderId="3" xfId="0" applyFont="1" applyFill="1" applyBorder="1" applyProtection="1"/>
    <xf numFmtId="0" fontId="2" fillId="2" borderId="7" xfId="0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</xf>
    <xf numFmtId="2" fontId="3" fillId="3" borderId="7" xfId="0" applyNumberFormat="1" applyFont="1" applyFill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1" fontId="15" fillId="4" borderId="7" xfId="0" applyNumberFormat="1" applyFont="1" applyFill="1" applyBorder="1" applyAlignment="1" applyProtection="1">
      <alignment horizontal="center"/>
    </xf>
    <xf numFmtId="1" fontId="15" fillId="4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1" fontId="16" fillId="4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" fontId="1" fillId="4" borderId="0" xfId="0" applyNumberFormat="1" applyFont="1" applyFill="1" applyBorder="1" applyAlignment="1" applyProtection="1">
      <alignment horizontal="center"/>
    </xf>
    <xf numFmtId="0" fontId="8" fillId="0" borderId="0" xfId="1" applyFont="1" applyAlignment="1" applyProtection="1"/>
    <xf numFmtId="0" fontId="8" fillId="0" borderId="0" xfId="1" applyFont="1" applyAlignment="1" applyProtection="1">
      <alignment horizontal="left"/>
    </xf>
    <xf numFmtId="0" fontId="13" fillId="0" borderId="0" xfId="0" applyFont="1" applyFill="1" applyBorder="1" applyProtection="1"/>
    <xf numFmtId="1" fontId="3" fillId="3" borderId="10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3" xfId="0" applyFont="1" applyFill="1" applyBorder="1" applyProtection="1"/>
    <xf numFmtId="0" fontId="6" fillId="0" borderId="11" xfId="0" applyFont="1" applyFill="1" applyBorder="1" applyProtection="1"/>
    <xf numFmtId="0" fontId="9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3" fillId="0" borderId="3" xfId="0" applyFont="1" applyBorder="1" applyProtection="1"/>
    <xf numFmtId="0" fontId="12" fillId="0" borderId="8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</xf>
    <xf numFmtId="2" fontId="3" fillId="3" borderId="13" xfId="0" applyNumberFormat="1" applyFont="1" applyFill="1" applyBorder="1" applyAlignment="1" applyProtection="1">
      <alignment horizontal="center"/>
    </xf>
    <xf numFmtId="1" fontId="3" fillId="3" borderId="14" xfId="0" applyNumberFormat="1" applyFont="1" applyFill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0" fontId="18" fillId="0" borderId="0" xfId="0" applyFont="1" applyFill="1" applyBorder="1" applyProtection="1"/>
    <xf numFmtId="1" fontId="2" fillId="0" borderId="0" xfId="0" applyNumberFormat="1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Protection="1"/>
    <xf numFmtId="165" fontId="2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Protection="1"/>
    <xf numFmtId="0" fontId="2" fillId="0" borderId="0" xfId="0" applyFont="1"/>
    <xf numFmtId="0" fontId="2" fillId="2" borderId="0" xfId="0" applyFont="1" applyFill="1" applyAlignment="1" applyProtection="1">
      <alignment horizontal="left"/>
    </xf>
    <xf numFmtId="0" fontId="10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8" fillId="0" borderId="0" xfId="1" applyFont="1" applyAlignment="1" applyProtection="1">
      <alignment horizontal="left"/>
    </xf>
    <xf numFmtId="0" fontId="0" fillId="0" borderId="0" xfId="0" applyAlignment="1">
      <alignment horizontal="left"/>
    </xf>
    <xf numFmtId="0" fontId="8" fillId="5" borderId="0" xfId="1" applyFont="1" applyFill="1" applyAlignment="1" applyProtection="1">
      <alignment horizontal="center"/>
    </xf>
    <xf numFmtId="0" fontId="8" fillId="5" borderId="0" xfId="1" applyFont="1" applyFill="1" applyAlignment="1" applyProtection="1"/>
    <xf numFmtId="1" fontId="3" fillId="5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7" borderId="0" xfId="0" applyFont="1" applyFill="1" applyAlignment="1"/>
    <xf numFmtId="0" fontId="0" fillId="7" borderId="0" xfId="0" applyFill="1" applyAlignment="1"/>
  </cellXfs>
  <cellStyles count="2">
    <cellStyle name="Lien hypertexte" xfId="1" builtinId="8"/>
    <cellStyle name="Normal" xfId="0" builtinId="0"/>
  </cellStyles>
  <dxfs count="16">
    <dxf>
      <font>
        <b/>
        <i val="0"/>
        <strike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strike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strike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12</xdr:col>
      <xdr:colOff>914400</xdr:colOff>
      <xdr:row>13</xdr:row>
      <xdr:rowOff>152400</xdr:rowOff>
    </xdr:to>
    <xdr:pic>
      <xdr:nvPicPr>
        <xdr:cNvPr id="1044" name="Picture 20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0"/>
          <a:ext cx="3162300" cy="263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371475</xdr:colOff>
      <xdr:row>19</xdr:row>
      <xdr:rowOff>123825</xdr:rowOff>
    </xdr:from>
    <xdr:to>
      <xdr:col>12</xdr:col>
      <xdr:colOff>933450</xdr:colOff>
      <xdr:row>32</xdr:row>
      <xdr:rowOff>161925</xdr:rowOff>
    </xdr:to>
    <xdr:pic>
      <xdr:nvPicPr>
        <xdr:cNvPr id="1045" name="Picture 21" descr="4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3752850"/>
          <a:ext cx="3228975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371475</xdr:colOff>
      <xdr:row>52</xdr:row>
      <xdr:rowOff>38100</xdr:rowOff>
    </xdr:from>
    <xdr:to>
      <xdr:col>12</xdr:col>
      <xdr:colOff>942975</xdr:colOff>
      <xdr:row>61</xdr:row>
      <xdr:rowOff>180975</xdr:rowOff>
    </xdr:to>
    <xdr:pic>
      <xdr:nvPicPr>
        <xdr:cNvPr id="1049" name="Picture 25" descr="beverage-unun-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0048875"/>
          <a:ext cx="3238500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3</xdr:row>
      <xdr:rowOff>19050</xdr:rowOff>
    </xdr:from>
    <xdr:to>
      <xdr:col>7</xdr:col>
      <xdr:colOff>371475</xdr:colOff>
      <xdr:row>20</xdr:row>
      <xdr:rowOff>180975</xdr:rowOff>
    </xdr:to>
    <xdr:pic>
      <xdr:nvPicPr>
        <xdr:cNvPr id="1051" name="Picture 27" descr="Balun_1_9_9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00075"/>
          <a:ext cx="2276475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12</xdr:col>
      <xdr:colOff>895350</xdr:colOff>
      <xdr:row>51</xdr:row>
      <xdr:rowOff>142875</xdr:rowOff>
    </xdr:to>
    <xdr:pic>
      <xdr:nvPicPr>
        <xdr:cNvPr id="1052" name="Picture 28" descr="Multi_Ratio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8067675"/>
          <a:ext cx="317182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8</xdr:col>
      <xdr:colOff>304800</xdr:colOff>
      <xdr:row>43</xdr:row>
      <xdr:rowOff>142875</xdr:rowOff>
    </xdr:to>
    <xdr:pic>
      <xdr:nvPicPr>
        <xdr:cNvPr id="5121" name="Picture 1" descr="PTFE_WIRE_AWG-KZ05_Page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6400800" cy="822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695325</xdr:colOff>
      <xdr:row>57</xdr:row>
      <xdr:rowOff>28575</xdr:rowOff>
    </xdr:to>
    <xdr:pic>
      <xdr:nvPicPr>
        <xdr:cNvPr id="3074" name="Picture 2" descr="Tubing PTFE GREM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553325" cy="106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12</xdr:col>
      <xdr:colOff>609600</xdr:colOff>
      <xdr:row>28</xdr:row>
      <xdr:rowOff>114300</xdr:rowOff>
    </xdr:to>
    <xdr:pic>
      <xdr:nvPicPr>
        <xdr:cNvPr id="4097" name="Picture 1" descr="BALUN 1 SUR 9 SUR FT240-43  5 spi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753600" cy="532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12</xdr:col>
      <xdr:colOff>609600</xdr:colOff>
      <xdr:row>56</xdr:row>
      <xdr:rowOff>180975</xdr:rowOff>
    </xdr:to>
    <xdr:pic>
      <xdr:nvPicPr>
        <xdr:cNvPr id="4098" name="Picture 2" descr="BALUN 1 SUR 9 SUR FT140-43  7 spi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9753600" cy="532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partsandkits.com/toroids.php" TargetMode="External"/><Relationship Id="rId7" Type="http://schemas.openxmlformats.org/officeDocument/2006/relationships/hyperlink" Target="http://industrial-hoses.info/en/industrial-hoses/products/industrial%20hoses/ptfe%20hoses/ERIKS%20-%20RX%20Eriflon%20PTFE%20spaghetti%20tubing.pdf" TargetMode="External"/><Relationship Id="rId2" Type="http://schemas.openxmlformats.org/officeDocument/2006/relationships/hyperlink" Target="http://f1frv.free.fr/" TargetMode="External"/><Relationship Id="rId1" Type="http://schemas.openxmlformats.org/officeDocument/2006/relationships/hyperlink" Target="mailto:f1frv@sfr.fr" TargetMode="External"/><Relationship Id="rId6" Type="http://schemas.openxmlformats.org/officeDocument/2006/relationships/hyperlink" Target="http://www.fair-rite.com/newfair/catalog.htm" TargetMode="External"/><Relationship Id="rId5" Type="http://schemas.openxmlformats.org/officeDocument/2006/relationships/hyperlink" Target="http://www.cwsbytemark.com/index.php?main_page=index&amp;cPath=206_221" TargetMode="External"/><Relationship Id="rId4" Type="http://schemas.openxmlformats.org/officeDocument/2006/relationships/hyperlink" Target="https://www.amidoncorp.com/categories/7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tabColor indexed="47"/>
  </sheetPr>
  <dimension ref="A1:B16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9.140625" customWidth="1"/>
    <col min="2" max="2" width="17.42578125" customWidth="1"/>
    <col min="3" max="3" width="6.42578125" customWidth="1"/>
  </cols>
  <sheetData>
    <row r="1" spans="1:2" x14ac:dyDescent="0.25">
      <c r="A1" s="86" t="s">
        <v>83</v>
      </c>
      <c r="B1" s="86" t="s">
        <v>84</v>
      </c>
    </row>
    <row r="2" spans="1:2" x14ac:dyDescent="0.25">
      <c r="A2" t="s">
        <v>97</v>
      </c>
    </row>
    <row r="3" spans="1:2" x14ac:dyDescent="0.25">
      <c r="A3" t="s">
        <v>85</v>
      </c>
    </row>
    <row r="4" spans="1:2" x14ac:dyDescent="0.25">
      <c r="A4" t="s">
        <v>104</v>
      </c>
    </row>
    <row r="5" spans="1:2" x14ac:dyDescent="0.25">
      <c r="A5" t="s">
        <v>96</v>
      </c>
    </row>
    <row r="7" spans="1:2" x14ac:dyDescent="0.25">
      <c r="A7" s="86" t="s">
        <v>102</v>
      </c>
      <c r="B7" s="86" t="s">
        <v>98</v>
      </c>
    </row>
    <row r="8" spans="1:2" x14ac:dyDescent="0.25">
      <c r="A8" t="s">
        <v>103</v>
      </c>
    </row>
    <row r="9" spans="1:2" x14ac:dyDescent="0.25">
      <c r="A9" t="s">
        <v>101</v>
      </c>
    </row>
    <row r="11" spans="1:2" x14ac:dyDescent="0.25">
      <c r="A11" s="86" t="s">
        <v>109</v>
      </c>
      <c r="B11" s="86" t="s">
        <v>110</v>
      </c>
    </row>
    <row r="12" spans="1:2" x14ac:dyDescent="0.25">
      <c r="A12" t="s">
        <v>111</v>
      </c>
    </row>
    <row r="13" spans="1:2" x14ac:dyDescent="0.25">
      <c r="A13" t="s">
        <v>112</v>
      </c>
    </row>
    <row r="15" spans="1:2" x14ac:dyDescent="0.25">
      <c r="A15" s="86" t="s">
        <v>115</v>
      </c>
      <c r="B15" t="s">
        <v>117</v>
      </c>
    </row>
    <row r="16" spans="1:2" x14ac:dyDescent="0.25">
      <c r="A16" t="s">
        <v>116</v>
      </c>
    </row>
  </sheetData>
  <sheetProtection sheet="1" formatCells="0" formatColumns="0" formatRows="0" insertColumns="0" insertRows="0" insertHyperlinks="0" deleteColumns="0" deleteRows="0" sort="0" autoFilter="0" pivotTables="0"/>
  <phoneticPr fontId="5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  <pageSetUpPr fitToPage="1"/>
  </sheetPr>
  <dimension ref="A1:M64"/>
  <sheetViews>
    <sheetView tabSelected="1" zoomScale="85" zoomScaleNormal="85" workbookViewId="0"/>
  </sheetViews>
  <sheetFormatPr baseColWidth="10" defaultRowHeight="15" x14ac:dyDescent="0.25"/>
  <cols>
    <col min="1" max="1" width="51.42578125" customWidth="1"/>
    <col min="2" max="2" width="51.85546875" style="6" customWidth="1"/>
    <col min="3" max="3" width="11.5703125" style="5" customWidth="1"/>
    <col min="4" max="4" width="11" style="5" customWidth="1"/>
    <col min="5" max="5" width="10.5703125" style="5" customWidth="1"/>
    <col min="6" max="6" width="11.140625" style="6" customWidth="1"/>
    <col min="7" max="7" width="7.42578125" style="6" customWidth="1"/>
    <col min="8" max="8" width="5.85546875" customWidth="1"/>
    <col min="11" max="11" width="5.5703125" customWidth="1"/>
    <col min="12" max="12" width="5.7109375" customWidth="1"/>
    <col min="13" max="13" width="14.28515625" customWidth="1"/>
  </cols>
  <sheetData>
    <row r="1" spans="1:8" ht="15.75" x14ac:dyDescent="0.25">
      <c r="A1" s="63" t="s">
        <v>57</v>
      </c>
      <c r="B1" s="63" t="s">
        <v>58</v>
      </c>
      <c r="C1" s="35" t="s">
        <v>39</v>
      </c>
      <c r="D1" s="13"/>
      <c r="E1" s="20" t="s">
        <v>119</v>
      </c>
      <c r="F1" s="23"/>
      <c r="G1" s="4" t="s">
        <v>118</v>
      </c>
    </row>
    <row r="2" spans="1:8" x14ac:dyDescent="0.25">
      <c r="A2" s="63" t="s">
        <v>90</v>
      </c>
      <c r="B2" s="63" t="s">
        <v>91</v>
      </c>
      <c r="C2" s="20" t="s">
        <v>68</v>
      </c>
      <c r="D2" s="13"/>
      <c r="E2" s="90" t="s">
        <v>28</v>
      </c>
      <c r="F2" s="91"/>
      <c r="G2" s="90" t="s">
        <v>27</v>
      </c>
      <c r="H2" s="91"/>
    </row>
    <row r="3" spans="1:8" x14ac:dyDescent="0.25">
      <c r="A3" s="11" t="s">
        <v>8</v>
      </c>
      <c r="B3" s="11" t="s">
        <v>9</v>
      </c>
      <c r="C3" s="20" t="s">
        <v>54</v>
      </c>
    </row>
    <row r="4" spans="1:8" x14ac:dyDescent="0.25">
      <c r="A4" s="12" t="s">
        <v>34</v>
      </c>
      <c r="B4" s="12" t="s">
        <v>35</v>
      </c>
      <c r="C4" s="20"/>
    </row>
    <row r="5" spans="1:8" x14ac:dyDescent="0.25">
      <c r="A5" s="33" t="s">
        <v>44</v>
      </c>
      <c r="B5" s="33" t="s">
        <v>37</v>
      </c>
      <c r="C5" s="60"/>
      <c r="D5" s="60"/>
    </row>
    <row r="6" spans="1:8" x14ac:dyDescent="0.25">
      <c r="A6" s="34" t="s">
        <v>33</v>
      </c>
      <c r="B6" s="34" t="s">
        <v>32</v>
      </c>
    </row>
    <row r="7" spans="1:8" x14ac:dyDescent="0.25">
      <c r="A7" s="4" t="s">
        <v>66</v>
      </c>
      <c r="B7" s="25" t="s">
        <v>67</v>
      </c>
      <c r="C7" s="1">
        <v>1000</v>
      </c>
      <c r="D7" s="64" t="s">
        <v>5</v>
      </c>
    </row>
    <row r="8" spans="1:8" x14ac:dyDescent="0.25">
      <c r="A8" s="85" t="s">
        <v>86</v>
      </c>
      <c r="B8" s="24" t="s">
        <v>87</v>
      </c>
      <c r="C8" s="84">
        <v>1.8</v>
      </c>
      <c r="D8" s="64" t="s">
        <v>1</v>
      </c>
    </row>
    <row r="9" spans="1:8" x14ac:dyDescent="0.25">
      <c r="A9" s="85" t="s">
        <v>88</v>
      </c>
      <c r="B9" s="24" t="s">
        <v>89</v>
      </c>
      <c r="C9" s="84">
        <v>30</v>
      </c>
      <c r="D9" s="64" t="s">
        <v>1</v>
      </c>
    </row>
    <row r="10" spans="1:8" x14ac:dyDescent="0.25">
      <c r="A10" s="4" t="s">
        <v>106</v>
      </c>
      <c r="B10" s="25" t="s">
        <v>105</v>
      </c>
      <c r="C10" s="1">
        <v>50</v>
      </c>
      <c r="D10" s="64" t="s">
        <v>43</v>
      </c>
    </row>
    <row r="11" spans="1:8" x14ac:dyDescent="0.25">
      <c r="A11" s="83" t="s">
        <v>82</v>
      </c>
      <c r="B11" s="22" t="s">
        <v>81</v>
      </c>
      <c r="C11" s="81">
        <f>C8+((C9-C8)*0.11)</f>
        <v>4.9020000000000001</v>
      </c>
      <c r="D11" s="16" t="s">
        <v>1</v>
      </c>
    </row>
    <row r="12" spans="1:8" x14ac:dyDescent="0.25">
      <c r="A12" s="6" t="s">
        <v>15</v>
      </c>
      <c r="B12" s="21" t="s">
        <v>16</v>
      </c>
      <c r="C12" s="7">
        <f>(SQRT(C7*C10))*1</f>
        <v>223.60679774997897</v>
      </c>
      <c r="D12" s="16" t="s">
        <v>0</v>
      </c>
    </row>
    <row r="13" spans="1:8" x14ac:dyDescent="0.25">
      <c r="A13" s="6" t="s">
        <v>17</v>
      </c>
      <c r="B13" s="21" t="s">
        <v>18</v>
      </c>
      <c r="C13" s="7">
        <f>((SQRT(C7*C10))*1)*SQRT(3)</f>
        <v>387.29833462074168</v>
      </c>
      <c r="D13" s="16" t="s">
        <v>0</v>
      </c>
    </row>
    <row r="14" spans="1:8" x14ac:dyDescent="0.25">
      <c r="A14" s="6" t="s">
        <v>19</v>
      </c>
      <c r="B14" s="21" t="s">
        <v>20</v>
      </c>
      <c r="C14" s="7">
        <f>((SQRT(C7*C10))*1)*SQRT(10)</f>
        <v>707.10678118654755</v>
      </c>
      <c r="D14" s="16" t="s">
        <v>0</v>
      </c>
    </row>
    <row r="15" spans="1:8" x14ac:dyDescent="0.25">
      <c r="A15" s="4" t="s">
        <v>100</v>
      </c>
      <c r="B15" s="25" t="s">
        <v>99</v>
      </c>
      <c r="C15" s="81">
        <f>ROUNDDOWN(((C12/C10)/3.3),2)</f>
        <v>1.35</v>
      </c>
      <c r="D15" s="16" t="s">
        <v>59</v>
      </c>
    </row>
    <row r="16" spans="1:8" x14ac:dyDescent="0.25">
      <c r="A16" s="4" t="s">
        <v>72</v>
      </c>
      <c r="B16" s="25" t="s">
        <v>73</v>
      </c>
      <c r="C16" s="81">
        <f>2*SQRT(C15/PI())</f>
        <v>1.3110581167104949</v>
      </c>
      <c r="D16" s="16" t="s">
        <v>55</v>
      </c>
    </row>
    <row r="17" spans="1:8" x14ac:dyDescent="0.25">
      <c r="A17" s="4" t="s">
        <v>71</v>
      </c>
      <c r="B17" s="25" t="s">
        <v>70</v>
      </c>
      <c r="C17" s="82">
        <v>2.1</v>
      </c>
      <c r="D17" s="64" t="str">
        <f>IF(C17&lt;C16,"ERREUR","mm")</f>
        <v>mm</v>
      </c>
    </row>
    <row r="18" spans="1:8" x14ac:dyDescent="0.25">
      <c r="A18" s="4" t="s">
        <v>29</v>
      </c>
      <c r="B18" s="25" t="s">
        <v>30</v>
      </c>
      <c r="C18" s="1">
        <v>7</v>
      </c>
      <c r="D18" s="9"/>
    </row>
    <row r="19" spans="1:8" x14ac:dyDescent="0.25">
      <c r="A19" s="4" t="s">
        <v>113</v>
      </c>
      <c r="B19" s="25" t="s">
        <v>114</v>
      </c>
      <c r="C19" s="1">
        <v>3</v>
      </c>
      <c r="D19" s="9"/>
    </row>
    <row r="20" spans="1:8" x14ac:dyDescent="0.25">
      <c r="A20" s="24" t="s">
        <v>11</v>
      </c>
      <c r="B20" s="24" t="s">
        <v>12</v>
      </c>
      <c r="C20" s="1">
        <v>9</v>
      </c>
      <c r="D20" s="87" t="s">
        <v>94</v>
      </c>
    </row>
    <row r="21" spans="1:8" x14ac:dyDescent="0.25">
      <c r="A21" s="24" t="s">
        <v>107</v>
      </c>
      <c r="B21" s="24" t="s">
        <v>108</v>
      </c>
      <c r="C21" s="16">
        <f>C10*C20</f>
        <v>450</v>
      </c>
      <c r="D21" s="16" t="s">
        <v>43</v>
      </c>
      <c r="E21" s="20"/>
      <c r="F21" s="80"/>
    </row>
    <row r="22" spans="1:8" x14ac:dyDescent="0.25">
      <c r="A22" s="22" t="s">
        <v>24</v>
      </c>
      <c r="B22" s="22" t="s">
        <v>21</v>
      </c>
      <c r="C22" s="7">
        <f>(SQRT(C7*C21))*1</f>
        <v>670.82039324993696</v>
      </c>
      <c r="D22" s="7" t="s">
        <v>0</v>
      </c>
      <c r="E22" s="79"/>
      <c r="F22" s="80"/>
    </row>
    <row r="23" spans="1:8" x14ac:dyDescent="0.25">
      <c r="A23" s="22" t="s">
        <v>25</v>
      </c>
      <c r="B23" s="22" t="s">
        <v>22</v>
      </c>
      <c r="C23" s="7">
        <f>((SQRT(C7*C21))*1)*SQRT(3)</f>
        <v>1161.8950038622252</v>
      </c>
      <c r="D23" s="7" t="s">
        <v>0</v>
      </c>
      <c r="E23" s="92" t="s">
        <v>56</v>
      </c>
      <c r="F23" s="93"/>
      <c r="G23" s="93"/>
    </row>
    <row r="24" spans="1:8" x14ac:dyDescent="0.25">
      <c r="A24" s="22" t="s">
        <v>26</v>
      </c>
      <c r="B24" s="22" t="s">
        <v>23</v>
      </c>
      <c r="C24" s="7">
        <f>((SQRT(C7*C21))*1)*SQRT(10)</f>
        <v>2121.3203435596429</v>
      </c>
      <c r="D24" s="7" t="s">
        <v>0</v>
      </c>
      <c r="E24" s="94" t="s">
        <v>36</v>
      </c>
      <c r="F24" s="95"/>
      <c r="G24" s="95"/>
    </row>
    <row r="25" spans="1:8" ht="15.75" thickBot="1" x14ac:dyDescent="0.3">
      <c r="A25" s="78" t="s">
        <v>69</v>
      </c>
      <c r="B25" s="19"/>
      <c r="C25" s="2"/>
      <c r="D25" s="2"/>
      <c r="E25" s="2"/>
    </row>
    <row r="26" spans="1:8" ht="15.75" thickTop="1" x14ac:dyDescent="0.25">
      <c r="A26" s="14" t="s">
        <v>6</v>
      </c>
      <c r="B26" s="36" t="s">
        <v>4</v>
      </c>
      <c r="C26" s="44" t="str">
        <f>IF(((C28-($C$17+1))*PI())&gt;($C$17*($C$19+1)*$C$18),"FT114-43","TOO SMALL")</f>
        <v>TOO SMALL</v>
      </c>
      <c r="D26" s="45" t="str">
        <f>IF(((D28-($C$17+1))*PI())&gt;($C$17*($C$19+1)*$C$18),"FT140-43","TOO SMALL")</f>
        <v>FT140-43</v>
      </c>
      <c r="E26" s="45" t="str">
        <f>IF(((E28-($C$17+1))*PI())&gt;($C$17*($C$19+1)*$C$18),"FT240-43","TOO SMALL")</f>
        <v>FT240-43</v>
      </c>
      <c r="F26" s="45" t="str">
        <f>IF(((F28-($C$17+1))*PI())&gt;($C$17*($C$19+1)*$C$18),"FT290-43","TOO SMALL")</f>
        <v>FT290-43</v>
      </c>
      <c r="G26" s="10"/>
      <c r="H26" s="22"/>
    </row>
    <row r="27" spans="1:8" x14ac:dyDescent="0.25">
      <c r="A27" s="15" t="s">
        <v>47</v>
      </c>
      <c r="B27" s="37" t="s">
        <v>46</v>
      </c>
      <c r="C27" s="48">
        <v>510</v>
      </c>
      <c r="D27" s="49">
        <v>885</v>
      </c>
      <c r="E27" s="49">
        <v>1075</v>
      </c>
      <c r="F27" s="49">
        <v>1300</v>
      </c>
      <c r="G27" s="27" t="s">
        <v>42</v>
      </c>
      <c r="H27" s="22"/>
    </row>
    <row r="28" spans="1:8" x14ac:dyDescent="0.25">
      <c r="A28" s="15" t="s">
        <v>65</v>
      </c>
      <c r="B28" s="37" t="s">
        <v>64</v>
      </c>
      <c r="C28" s="48">
        <v>18.5</v>
      </c>
      <c r="D28" s="49">
        <v>22.5</v>
      </c>
      <c r="E28" s="49">
        <v>35</v>
      </c>
      <c r="F28" s="49">
        <v>38</v>
      </c>
      <c r="G28" s="27" t="s">
        <v>55</v>
      </c>
      <c r="H28" s="22"/>
    </row>
    <row r="29" spans="1:8" x14ac:dyDescent="0.25">
      <c r="A29" s="15" t="s">
        <v>40</v>
      </c>
      <c r="B29" s="37" t="s">
        <v>7</v>
      </c>
      <c r="C29" s="48">
        <v>0.37</v>
      </c>
      <c r="D29" s="49">
        <v>0.79</v>
      </c>
      <c r="E29" s="49">
        <v>1.58</v>
      </c>
      <c r="F29" s="49">
        <v>2.15</v>
      </c>
      <c r="G29" s="27" t="s">
        <v>41</v>
      </c>
      <c r="H29" s="22"/>
    </row>
    <row r="30" spans="1:8" x14ac:dyDescent="0.25">
      <c r="A30" s="65" t="s">
        <v>60</v>
      </c>
      <c r="B30" s="39" t="s">
        <v>61</v>
      </c>
      <c r="C30" s="50">
        <v>2900</v>
      </c>
      <c r="D30" s="51">
        <v>2900</v>
      </c>
      <c r="E30" s="51">
        <v>2900</v>
      </c>
      <c r="F30" s="51">
        <v>2900</v>
      </c>
      <c r="G30" s="28" t="s">
        <v>2</v>
      </c>
      <c r="H30" s="22"/>
    </row>
    <row r="31" spans="1:8" x14ac:dyDescent="0.25">
      <c r="A31" s="26" t="s">
        <v>38</v>
      </c>
      <c r="B31" s="40" t="s">
        <v>10</v>
      </c>
      <c r="C31" s="41">
        <v>2</v>
      </c>
      <c r="D31" s="3">
        <v>2</v>
      </c>
      <c r="E31" s="3">
        <v>1</v>
      </c>
      <c r="F31" s="3">
        <v>1</v>
      </c>
      <c r="G31" s="27"/>
    </row>
    <row r="32" spans="1:8" x14ac:dyDescent="0.25">
      <c r="A32" s="61" t="s">
        <v>92</v>
      </c>
      <c r="B32" s="61" t="s">
        <v>93</v>
      </c>
      <c r="C32" s="42">
        <f>((C27*($C$18^2)*C31)/1000)*((2*PI())*$C$11)</f>
        <v>1539.3927153022005</v>
      </c>
      <c r="D32" s="8">
        <f>((D27*(C18^2)*D31)/1000)*((2*PI())*$C$11)</f>
        <v>2671.2991236126422</v>
      </c>
      <c r="E32" s="8">
        <f>((E27*(C18^2)*E31)/1000)*((2*PI())*$C$11)</f>
        <v>1622.3991852449662</v>
      </c>
      <c r="F32" s="8">
        <f>((F27*(C18^2)*F31)/1000)*((2*PI())*$C$11)</f>
        <v>1961.9711077380989</v>
      </c>
      <c r="G32" s="29" t="s">
        <v>43</v>
      </c>
    </row>
    <row r="33" spans="1:13" x14ac:dyDescent="0.25">
      <c r="A33" s="61" t="s">
        <v>13</v>
      </c>
      <c r="B33" s="61" t="s">
        <v>14</v>
      </c>
      <c r="C33" s="43">
        <f>C32/$C$21</f>
        <v>3.4208727006715565</v>
      </c>
      <c r="D33" s="18">
        <f>D32/$C$21</f>
        <v>5.9362202746947608</v>
      </c>
      <c r="E33" s="18">
        <f>E32/$C$21</f>
        <v>3.6053315227665919</v>
      </c>
      <c r="F33" s="18">
        <f>F32/$C$21</f>
        <v>4.3599357949735529</v>
      </c>
      <c r="G33" s="29"/>
    </row>
    <row r="34" spans="1:13" x14ac:dyDescent="0.25">
      <c r="A34" s="61" t="s">
        <v>79</v>
      </c>
      <c r="B34" s="61" t="s">
        <v>75</v>
      </c>
      <c r="C34" s="42">
        <f>($C$22*70.7)/(4.44*(C29*C31)*$C$18*$C$8)</f>
        <v>1145.6196013284168</v>
      </c>
      <c r="D34" s="8">
        <f>($C$22*70.7)/(4.44*(D29*D31)*$C$18*$C$8)</f>
        <v>536.55601581204326</v>
      </c>
      <c r="E34" s="8">
        <f>($C$22*70.7)/(4.44*(E29*E31)*$C$18*$C$8)</f>
        <v>536.55601581204326</v>
      </c>
      <c r="F34" s="8">
        <f>($C$22*70.7)/(4.44*(F29*F31)*$C$18*$C$8)</f>
        <v>394.3062813874551</v>
      </c>
      <c r="G34" s="29" t="s">
        <v>2</v>
      </c>
    </row>
    <row r="35" spans="1:13" x14ac:dyDescent="0.25">
      <c r="A35" s="61" t="s">
        <v>78</v>
      </c>
      <c r="B35" s="61" t="s">
        <v>76</v>
      </c>
      <c r="C35" s="42">
        <f>($C$23*70.7)/(4.44*(C29*C31)*$C$18*$C$8)</f>
        <v>1984.2713556476194</v>
      </c>
      <c r="D35" s="8">
        <f>($C$23*70.7)/(4.44*(D29*D31)*$C$18*$C$8)</f>
        <v>929.3422804931887</v>
      </c>
      <c r="E35" s="8">
        <f>($C$23*70.7)/(4.44*(E29*E31)*$C$18*$C$8)</f>
        <v>929.3422804931887</v>
      </c>
      <c r="F35" s="8">
        <f>($C$23*70.7)/(4.44*(F29*F31)*$C$18*$C$8)</f>
        <v>682.95851310662249</v>
      </c>
      <c r="G35" s="29" t="s">
        <v>2</v>
      </c>
    </row>
    <row r="36" spans="1:13" ht="15.75" thickBot="1" x14ac:dyDescent="0.3">
      <c r="A36" s="62" t="s">
        <v>80</v>
      </c>
      <c r="B36" s="62" t="s">
        <v>77</v>
      </c>
      <c r="C36" s="59">
        <f>($C$24*70.7)/(4.44*(C29*C31)*$C$18*$C$8)</f>
        <v>3622.7672723318574</v>
      </c>
      <c r="D36" s="17">
        <f>($C$24*70.7)/(4.44*(D29*D31)*$C$18*$C$8)</f>
        <v>1696.7391022313761</v>
      </c>
      <c r="E36" s="17">
        <f>($C$24*70.7)/(4.44*(E29*E31)*$C$18*$C$8)</f>
        <v>1696.7391022313761</v>
      </c>
      <c r="F36" s="17">
        <f>($C$24*70.7)/(4.44*(F29*F31)*$C$18*$C$8)</f>
        <v>1246.9059448956161</v>
      </c>
      <c r="G36" s="30" t="s">
        <v>2</v>
      </c>
      <c r="H36" s="22"/>
      <c r="I36" s="88" t="s">
        <v>45</v>
      </c>
      <c r="J36" s="89"/>
      <c r="K36" s="89"/>
      <c r="L36" s="89"/>
      <c r="M36" s="89"/>
    </row>
    <row r="37" spans="1:13" ht="15.75" thickTop="1" x14ac:dyDescent="0.25">
      <c r="A37" s="32" t="s">
        <v>120</v>
      </c>
      <c r="C37" s="6"/>
      <c r="D37" s="6"/>
      <c r="E37" s="6"/>
      <c r="I37" s="88"/>
      <c r="J37" s="89"/>
      <c r="K37" s="89"/>
      <c r="L37" s="89"/>
      <c r="M37" s="89"/>
    </row>
    <row r="38" spans="1:13" ht="15.75" thickBot="1" x14ac:dyDescent="0.3">
      <c r="A38" s="32" t="s">
        <v>121</v>
      </c>
      <c r="C38"/>
      <c r="D38"/>
      <c r="E38"/>
      <c r="G38"/>
      <c r="I38" s="88" t="s">
        <v>31</v>
      </c>
      <c r="J38" s="89"/>
      <c r="K38" s="89"/>
      <c r="L38" s="89"/>
      <c r="M38" s="89"/>
    </row>
    <row r="39" spans="1:13" ht="15.75" thickTop="1" x14ac:dyDescent="0.25">
      <c r="A39" s="14" t="s">
        <v>6</v>
      </c>
      <c r="B39" s="36" t="s">
        <v>4</v>
      </c>
      <c r="C39" s="66" t="str">
        <f>IF(((C41-($C$17+1))*PI())&gt;($C$17*($C$19+1)*$C$18),"FT114-77","TOO SMALL")</f>
        <v>TOO SMALL</v>
      </c>
      <c r="D39" s="46" t="str">
        <f>IF(((D41-($C$17+1))*PI())&gt;($C$17*($C$19+1)*$C$18),"FT140-77","TOO SMALL")</f>
        <v>FT140-77</v>
      </c>
      <c r="E39" s="46" t="str">
        <f>IF(((E41-($C$17+1))*PI())&gt;($C$17*($C$19+1)*$C$18),"FT240-77","TOO SMALL")</f>
        <v>FT240-77</v>
      </c>
      <c r="F39" s="46" t="str">
        <f>IF(((F41-($C$17+1))*PI())&gt;($C$17*($C$19+1)*$C$18),"FT290-77","TOO SMALL")</f>
        <v>FT290-77</v>
      </c>
      <c r="G39" s="10"/>
      <c r="H39" s="6"/>
      <c r="I39" s="88"/>
      <c r="J39" s="89"/>
      <c r="K39" s="89"/>
      <c r="L39" s="89"/>
      <c r="M39" s="89"/>
    </row>
    <row r="40" spans="1:13" x14ac:dyDescent="0.25">
      <c r="A40" s="15" t="s">
        <v>47</v>
      </c>
      <c r="B40" s="37" t="s">
        <v>46</v>
      </c>
      <c r="C40" s="67">
        <v>1365</v>
      </c>
      <c r="D40" s="54">
        <v>2400</v>
      </c>
      <c r="E40" s="54">
        <v>2950</v>
      </c>
      <c r="F40" s="54">
        <v>3500</v>
      </c>
      <c r="G40" s="27" t="s">
        <v>42</v>
      </c>
      <c r="H40" s="6"/>
      <c r="I40" s="88" t="s">
        <v>63</v>
      </c>
      <c r="J40" s="88"/>
      <c r="K40" s="88"/>
      <c r="L40" s="88"/>
      <c r="M40" s="88"/>
    </row>
    <row r="41" spans="1:13" x14ac:dyDescent="0.25">
      <c r="A41" s="15" t="s">
        <v>65</v>
      </c>
      <c r="B41" s="37" t="s">
        <v>64</v>
      </c>
      <c r="C41" s="67">
        <v>18.5</v>
      </c>
      <c r="D41" s="54">
        <v>22.5</v>
      </c>
      <c r="E41" s="54">
        <v>35</v>
      </c>
      <c r="F41" s="54">
        <v>38</v>
      </c>
      <c r="G41" s="27" t="s">
        <v>55</v>
      </c>
      <c r="H41" s="6"/>
      <c r="I41" s="77"/>
      <c r="J41" s="77"/>
      <c r="K41" s="77"/>
      <c r="L41" s="77"/>
      <c r="M41" s="77"/>
    </row>
    <row r="42" spans="1:13" x14ac:dyDescent="0.25">
      <c r="A42" s="15" t="s">
        <v>40</v>
      </c>
      <c r="B42" s="37" t="s">
        <v>7</v>
      </c>
      <c r="C42" s="67">
        <v>0.37</v>
      </c>
      <c r="D42" s="54">
        <v>0.79</v>
      </c>
      <c r="E42" s="54">
        <v>1.58</v>
      </c>
      <c r="F42" s="54">
        <v>2.15</v>
      </c>
      <c r="G42" s="27" t="s">
        <v>41</v>
      </c>
      <c r="H42" s="6"/>
    </row>
    <row r="43" spans="1:13" x14ac:dyDescent="0.25">
      <c r="A43" s="65" t="s">
        <v>60</v>
      </c>
      <c r="B43" s="39" t="s">
        <v>61</v>
      </c>
      <c r="C43" s="68">
        <v>4900</v>
      </c>
      <c r="D43" s="55">
        <v>4900</v>
      </c>
      <c r="E43" s="55">
        <v>4900</v>
      </c>
      <c r="F43" s="55">
        <v>4900</v>
      </c>
      <c r="G43" s="28" t="s">
        <v>2</v>
      </c>
      <c r="H43" s="6"/>
    </row>
    <row r="44" spans="1:13" x14ac:dyDescent="0.25">
      <c r="A44" s="26" t="s">
        <v>38</v>
      </c>
      <c r="B44" s="40" t="s">
        <v>10</v>
      </c>
      <c r="C44" s="41">
        <v>2</v>
      </c>
      <c r="D44" s="3">
        <v>1</v>
      </c>
      <c r="E44" s="3">
        <v>1</v>
      </c>
      <c r="F44" s="3">
        <v>1</v>
      </c>
      <c r="G44" s="27"/>
      <c r="H44" s="6"/>
    </row>
    <row r="45" spans="1:13" x14ac:dyDescent="0.25">
      <c r="A45" s="61" t="s">
        <v>92</v>
      </c>
      <c r="B45" s="61" t="s">
        <v>93</v>
      </c>
      <c r="C45" s="42">
        <f>((C40*($C$18^2)*C44)/1000)*((2*PI())*$C$11)</f>
        <v>4120.1393262500078</v>
      </c>
      <c r="D45" s="8">
        <f>((D40*($C$18^2)*D44)/1000)*((2*PI())*$C$11)</f>
        <v>3622.1005065934132</v>
      </c>
      <c r="E45" s="8">
        <f>((E40*($C$18^2)*E44)/1000)*((2*PI())*$C$11)</f>
        <v>4452.1652060210708</v>
      </c>
      <c r="F45" s="8">
        <f>((F40*($C$18^2)*F44)/1000)*((2*PI())*$C$11)</f>
        <v>5282.2299054487275</v>
      </c>
      <c r="G45" s="29" t="s">
        <v>43</v>
      </c>
      <c r="H45" s="6"/>
    </row>
    <row r="46" spans="1:13" x14ac:dyDescent="0.25">
      <c r="A46" s="61" t="s">
        <v>13</v>
      </c>
      <c r="B46" s="61" t="s">
        <v>14</v>
      </c>
      <c r="C46" s="43">
        <f>C45/$C$21</f>
        <v>9.1558651694444624</v>
      </c>
      <c r="D46" s="18">
        <f>D45/$C$21</f>
        <v>8.0491122368742509</v>
      </c>
      <c r="E46" s="18">
        <f>E45/$C$21</f>
        <v>9.8937004578246022</v>
      </c>
      <c r="F46" s="18">
        <f>F45/$C$21</f>
        <v>11.73828867877495</v>
      </c>
      <c r="G46" s="29"/>
      <c r="H46" s="6"/>
    </row>
    <row r="47" spans="1:13" x14ac:dyDescent="0.25">
      <c r="A47" s="61" t="s">
        <v>79</v>
      </c>
      <c r="B47" s="61" t="s">
        <v>75</v>
      </c>
      <c r="C47" s="42">
        <f>($C$22*70.7)/(4.44*(C42*C44)*$C$18*$C$8)</f>
        <v>1145.6196013284168</v>
      </c>
      <c r="D47" s="8">
        <f>($C$22*70.7)/(4.44*(D42*D44)*$C$18*$C$8)</f>
        <v>1073.1120316240865</v>
      </c>
      <c r="E47" s="8">
        <f>($C$22*70.7)/(4.44*(E42*E44)*$C$18*$C$8)</f>
        <v>536.55601581204326</v>
      </c>
      <c r="F47" s="8">
        <f>($C$22*70.7)/(4.44*(F42*F44)*$C$18*$C$8)</f>
        <v>394.3062813874551</v>
      </c>
      <c r="G47" s="29" t="s">
        <v>2</v>
      </c>
      <c r="H47" s="6"/>
    </row>
    <row r="48" spans="1:13" x14ac:dyDescent="0.25">
      <c r="A48" s="61" t="s">
        <v>78</v>
      </c>
      <c r="B48" s="61" t="s">
        <v>76</v>
      </c>
      <c r="C48" s="42">
        <f>($C$23*70.7)/(4.44*(C42*C44)*$C$18*$C$8)</f>
        <v>1984.2713556476194</v>
      </c>
      <c r="D48" s="8">
        <f>($C$23*70.7)/(4.44*(D42*D44)*$C$18*$C$8)</f>
        <v>1858.6845609863774</v>
      </c>
      <c r="E48" s="8">
        <f>($C$23*70.7)/(4.44*(E42*E44)*$C$18*$C$8)</f>
        <v>929.3422804931887</v>
      </c>
      <c r="F48" s="8">
        <f>($C$23*70.7)/(4.44*(F42*F44)*$C$18*$C$8)</f>
        <v>682.95851310662249</v>
      </c>
      <c r="G48" s="29" t="s">
        <v>2</v>
      </c>
      <c r="H48" s="6"/>
    </row>
    <row r="49" spans="1:8" ht="15.75" thickBot="1" x14ac:dyDescent="0.3">
      <c r="A49" s="62" t="s">
        <v>80</v>
      </c>
      <c r="B49" s="62" t="s">
        <v>77</v>
      </c>
      <c r="C49" s="59">
        <f>($C$24*70.7)/(4.44*(C42*C44)*$C$18*$C$8)</f>
        <v>3622.7672723318574</v>
      </c>
      <c r="D49" s="17">
        <f>($C$24*70.7)/(4.44*(D42*D44)*$C$18*$C$8)</f>
        <v>3393.4782044627523</v>
      </c>
      <c r="E49" s="17">
        <f>($C$24*70.7)/(4.44*(E42*E44)*$C$18*$C$8)</f>
        <v>1696.7391022313761</v>
      </c>
      <c r="F49" s="17">
        <f>($C$24*70.7)/(4.44*(F42*F44)*$C$18*$C$8)</f>
        <v>1246.9059448956161</v>
      </c>
      <c r="G49" s="30" t="s">
        <v>2</v>
      </c>
      <c r="H49" s="6"/>
    </row>
    <row r="50" spans="1:8" ht="16.5" thickTop="1" thickBot="1" x14ac:dyDescent="0.3">
      <c r="A50" s="58" t="s">
        <v>95</v>
      </c>
      <c r="B50" s="21"/>
      <c r="C50" s="2"/>
      <c r="D50" s="2"/>
      <c r="E50" s="2"/>
    </row>
    <row r="51" spans="1:8" ht="15.75" thickTop="1" x14ac:dyDescent="0.25">
      <c r="A51" s="14" t="s">
        <v>6</v>
      </c>
      <c r="B51" s="36" t="s">
        <v>4</v>
      </c>
      <c r="C51" s="76" t="str">
        <f>IF(((C53-($C$17+1))*PI())&gt;($C$17*($C$19+1)*$C$18),"FT114-61","TOO SMALL")</f>
        <v>TOO SMALL</v>
      </c>
      <c r="D51" s="47" t="str">
        <f>IF(((D53-($C$17+1))*PI())&gt;($C$17*($C$19+1)*$C$18),"FT140-61","TOO SMALL")</f>
        <v>FT140-61</v>
      </c>
      <c r="E51" s="47" t="str">
        <f>IF(((E53-($C$17+1))*PI())&gt;($C$17*($C$19+1)*$C$18),"FT240-61","TOO SMALL")</f>
        <v>FT240-61</v>
      </c>
      <c r="F51" s="69" t="s">
        <v>62</v>
      </c>
      <c r="G51" s="10"/>
      <c r="H51" s="6"/>
    </row>
    <row r="52" spans="1:8" x14ac:dyDescent="0.25">
      <c r="A52" s="15" t="s">
        <v>47</v>
      </c>
      <c r="B52" s="37" t="s">
        <v>46</v>
      </c>
      <c r="C52" s="52">
        <v>80</v>
      </c>
      <c r="D52" s="52">
        <v>140</v>
      </c>
      <c r="E52" s="52">
        <v>170</v>
      </c>
      <c r="F52" s="70">
        <v>10000</v>
      </c>
      <c r="G52" s="27" t="s">
        <v>42</v>
      </c>
      <c r="H52" s="6"/>
    </row>
    <row r="53" spans="1:8" x14ac:dyDescent="0.25">
      <c r="A53" s="15" t="s">
        <v>65</v>
      </c>
      <c r="B53" s="37" t="s">
        <v>64</v>
      </c>
      <c r="C53" s="52">
        <v>18.5</v>
      </c>
      <c r="D53" s="52">
        <v>22.5</v>
      </c>
      <c r="E53" s="52">
        <v>35</v>
      </c>
      <c r="F53" s="70">
        <v>100</v>
      </c>
      <c r="G53" s="27" t="s">
        <v>55</v>
      </c>
      <c r="H53" s="6"/>
    </row>
    <row r="54" spans="1:8" x14ac:dyDescent="0.25">
      <c r="A54" s="15" t="s">
        <v>40</v>
      </c>
      <c r="B54" s="38" t="s">
        <v>3</v>
      </c>
      <c r="C54" s="52">
        <v>0.37</v>
      </c>
      <c r="D54" s="52">
        <v>0.79</v>
      </c>
      <c r="E54" s="52">
        <v>1.58</v>
      </c>
      <c r="F54" s="70">
        <v>10</v>
      </c>
      <c r="G54" s="27" t="s">
        <v>41</v>
      </c>
      <c r="H54" s="6"/>
    </row>
    <row r="55" spans="1:8" x14ac:dyDescent="0.25">
      <c r="A55" s="65" t="s">
        <v>60</v>
      </c>
      <c r="B55" s="39" t="s">
        <v>61</v>
      </c>
      <c r="C55" s="53">
        <v>2350</v>
      </c>
      <c r="D55" s="53">
        <v>2350</v>
      </c>
      <c r="E55" s="53">
        <v>2350</v>
      </c>
      <c r="F55" s="71">
        <v>10000</v>
      </c>
      <c r="G55" s="28" t="s">
        <v>2</v>
      </c>
      <c r="H55" s="6"/>
    </row>
    <row r="56" spans="1:8" x14ac:dyDescent="0.25">
      <c r="A56" s="26" t="s">
        <v>38</v>
      </c>
      <c r="B56" s="40" t="s">
        <v>10</v>
      </c>
      <c r="C56" s="3">
        <v>3</v>
      </c>
      <c r="D56" s="3">
        <v>2</v>
      </c>
      <c r="E56" s="3">
        <v>1</v>
      </c>
      <c r="F56" s="72">
        <v>1</v>
      </c>
      <c r="G56" s="27"/>
      <c r="H56" s="6"/>
    </row>
    <row r="57" spans="1:8" x14ac:dyDescent="0.25">
      <c r="A57" s="61" t="s">
        <v>92</v>
      </c>
      <c r="B57" s="61" t="s">
        <v>93</v>
      </c>
      <c r="C57" s="8">
        <f>((C52*(C18^2)*C56)/1000)*((2*PI())*$C$11)</f>
        <v>362.21005065934133</v>
      </c>
      <c r="D57" s="8">
        <f>((D52*(C18^2)*D56)/1000)*((2*PI())*$C$11)</f>
        <v>422.57839243589825</v>
      </c>
      <c r="E57" s="8">
        <f>((E52*($C$18^2)*E56)/1000)*((2*PI())*$C$11)</f>
        <v>256.56545255036679</v>
      </c>
      <c r="F57" s="73">
        <f>((F52*($C$18^2)*F56)/1000)*((2*PI())*$C$11)</f>
        <v>15092.085444139222</v>
      </c>
      <c r="G57" s="29" t="s">
        <v>43</v>
      </c>
      <c r="H57" s="6"/>
    </row>
    <row r="58" spans="1:8" x14ac:dyDescent="0.25">
      <c r="A58" s="61" t="s">
        <v>13</v>
      </c>
      <c r="B58" s="61" t="s">
        <v>14</v>
      </c>
      <c r="C58" s="43">
        <f>C57/$C$21</f>
        <v>0.80491122368742518</v>
      </c>
      <c r="D58" s="18">
        <f>D57/$C$21</f>
        <v>0.93906309430199608</v>
      </c>
      <c r="E58" s="18">
        <f>E57/$C$21</f>
        <v>0.57014545011192619</v>
      </c>
      <c r="F58" s="74">
        <f>F57/$C$21</f>
        <v>33.537967653642717</v>
      </c>
      <c r="G58" s="31"/>
      <c r="H58" s="6"/>
    </row>
    <row r="59" spans="1:8" x14ac:dyDescent="0.25">
      <c r="A59" s="61" t="s">
        <v>79</v>
      </c>
      <c r="B59" s="61" t="s">
        <v>75</v>
      </c>
      <c r="C59" s="42">
        <f>($C$22*70.7)/(4.44*(C54*C56)*$C$18*$C$8)</f>
        <v>763.74640088561114</v>
      </c>
      <c r="D59" s="8">
        <f>($C$22*70.7)/(4.44*(D54*D56)*$C$18*$C$8)</f>
        <v>536.55601581204326</v>
      </c>
      <c r="E59" s="8">
        <f>($C$22*70.7)/(4.44*(E54*E56)*$C$18*$C$8)</f>
        <v>536.55601581204326</v>
      </c>
      <c r="F59" s="73">
        <f>($C$22*70.7)/(4.44*(F54*F56)*$C$18*$C$8)</f>
        <v>84.775850498302816</v>
      </c>
      <c r="G59" s="29" t="s">
        <v>2</v>
      </c>
      <c r="H59" s="6"/>
    </row>
    <row r="60" spans="1:8" x14ac:dyDescent="0.25">
      <c r="A60" s="61" t="s">
        <v>78</v>
      </c>
      <c r="B60" s="61" t="s">
        <v>76</v>
      </c>
      <c r="C60" s="42">
        <f>($C$23*70.7)/(4.44*(C54*C56)*$C$18*$C$8)</f>
        <v>1322.8475704317461</v>
      </c>
      <c r="D60" s="8">
        <f>($C$23*70.7)/(4.44*(D54*D56)*$C$18*$C$8)</f>
        <v>929.3422804931887</v>
      </c>
      <c r="E60" s="8">
        <f>($C$23*70.7)/(4.44*(E54*E56)*$C$18*$C$8)</f>
        <v>929.3422804931887</v>
      </c>
      <c r="F60" s="73">
        <f>($C$23*70.7)/(4.44*(F54*F56)*$C$18*$C$8)</f>
        <v>146.8360803179238</v>
      </c>
      <c r="G60" s="29" t="s">
        <v>2</v>
      </c>
      <c r="H60" s="6"/>
    </row>
    <row r="61" spans="1:8" ht="15.75" thickBot="1" x14ac:dyDescent="0.3">
      <c r="A61" s="62" t="s">
        <v>80</v>
      </c>
      <c r="B61" s="62" t="s">
        <v>77</v>
      </c>
      <c r="C61" s="59">
        <f>($C$24*70.7)/(4.44*(C54*C56)*$C$18*$C$8)</f>
        <v>2415.1781815545719</v>
      </c>
      <c r="D61" s="17">
        <f>($C$24*70.7)/(4.44*(D54*D56)*$C$18*$C$8)</f>
        <v>1696.7391022313761</v>
      </c>
      <c r="E61" s="17">
        <f>($C$24*70.7)/(4.44*(E54*E56)*$C$18*$C$8)</f>
        <v>1696.7391022313761</v>
      </c>
      <c r="F61" s="75">
        <f>($C$24*70.7)/(4.44*(F54*F56)*$C$18*$C$8)</f>
        <v>268.08477815255742</v>
      </c>
      <c r="G61" s="30" t="s">
        <v>2</v>
      </c>
      <c r="H61" s="6"/>
    </row>
    <row r="62" spans="1:8" ht="15.75" thickTop="1" x14ac:dyDescent="0.25">
      <c r="A62" s="58" t="s">
        <v>48</v>
      </c>
      <c r="B62" s="56" t="s">
        <v>49</v>
      </c>
      <c r="C62" s="57" t="s">
        <v>50</v>
      </c>
    </row>
    <row r="63" spans="1:8" x14ac:dyDescent="0.25">
      <c r="A63" s="58" t="s">
        <v>48</v>
      </c>
      <c r="B63" s="56" t="s">
        <v>51</v>
      </c>
    </row>
    <row r="64" spans="1:8" x14ac:dyDescent="0.25">
      <c r="A64" s="58" t="s">
        <v>52</v>
      </c>
      <c r="B64" s="56" t="s">
        <v>53</v>
      </c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I39:M39"/>
    <mergeCell ref="I40:M40"/>
    <mergeCell ref="I36:M36"/>
    <mergeCell ref="E2:F2"/>
    <mergeCell ref="G2:H2"/>
    <mergeCell ref="I38:M38"/>
    <mergeCell ref="I37:M37"/>
    <mergeCell ref="E23:G23"/>
    <mergeCell ref="E24:G24"/>
  </mergeCells>
  <phoneticPr fontId="5" type="noConversion"/>
  <conditionalFormatting sqref="C48:D48 F48 C35:F35 C60:F60">
    <cfRule type="cellIs" dxfId="15" priority="1" stopIfTrue="1" operator="greaterThan">
      <formula>C30*0.9</formula>
    </cfRule>
  </conditionalFormatting>
  <conditionalFormatting sqref="C47:D47 F47 C34:E34 C59:F59">
    <cfRule type="cellIs" dxfId="14" priority="2" stopIfTrue="1" operator="greaterThan">
      <formula>C30*0.9</formula>
    </cfRule>
  </conditionalFormatting>
  <conditionalFormatting sqref="E47">
    <cfRule type="cellIs" priority="3" stopIfTrue="1" operator="greaterThan">
      <formula>E43*0.9</formula>
    </cfRule>
  </conditionalFormatting>
  <conditionalFormatting sqref="E48">
    <cfRule type="cellIs" priority="4" stopIfTrue="1" operator="greaterThan">
      <formula>E43*0.9</formula>
    </cfRule>
  </conditionalFormatting>
  <conditionalFormatting sqref="C36:F36 C61:F61 C49:F49">
    <cfRule type="cellIs" dxfId="13" priority="5" stopIfTrue="1" operator="greaterThan">
      <formula>C30*0.9</formula>
    </cfRule>
  </conditionalFormatting>
  <conditionalFormatting sqref="C17">
    <cfRule type="cellIs" dxfId="12" priority="6" stopIfTrue="1" operator="lessThan">
      <formula>$C$16</formula>
    </cfRule>
  </conditionalFormatting>
  <conditionalFormatting sqref="C23 C13:C14">
    <cfRule type="cellIs" dxfId="11" priority="7" stopIfTrue="1" operator="greaterThan">
      <formula>1000</formula>
    </cfRule>
  </conditionalFormatting>
  <conditionalFormatting sqref="C24">
    <cfRule type="cellIs" dxfId="10" priority="8" stopIfTrue="1" operator="greaterThan">
      <formula>1000</formula>
    </cfRule>
  </conditionalFormatting>
  <conditionalFormatting sqref="C20">
    <cfRule type="cellIs" dxfId="9" priority="9" stopIfTrue="1" operator="between">
      <formula>9.1</formula>
      <formula>16</formula>
    </cfRule>
    <cfRule type="cellIs" dxfId="8" priority="10" stopIfTrue="1" operator="notBetween">
      <formula>1</formula>
      <formula>16</formula>
    </cfRule>
  </conditionalFormatting>
  <conditionalFormatting sqref="C33:F33 C46:F46 C58:F58">
    <cfRule type="cellIs" dxfId="7" priority="11" stopIfTrue="1" operator="lessThan">
      <formula>1.5</formula>
    </cfRule>
    <cfRule type="cellIs" dxfId="6" priority="12" stopIfTrue="1" operator="between">
      <formula>1.5</formula>
      <formula>2.8</formula>
    </cfRule>
  </conditionalFormatting>
  <conditionalFormatting sqref="C8">
    <cfRule type="cellIs" dxfId="5" priority="13" stopIfTrue="1" operator="greaterThan">
      <formula>55</formula>
    </cfRule>
  </conditionalFormatting>
  <conditionalFormatting sqref="F34">
    <cfRule type="cellIs" dxfId="4" priority="14" stopIfTrue="1" operator="greaterThan">
      <formula>"f28*0,9"</formula>
    </cfRule>
  </conditionalFormatting>
  <conditionalFormatting sqref="C9">
    <cfRule type="cellIs" dxfId="3" priority="15" stopIfTrue="1" operator="lessThanOrEqual">
      <formula>$C$8</formula>
    </cfRule>
    <cfRule type="cellIs" dxfId="2" priority="16" stopIfTrue="1" operator="greaterThan">
      <formula>60</formula>
    </cfRule>
    <cfRule type="expression" dxfId="1" priority="17" stopIfTrue="1">
      <formula>$C$9-$C$8&gt;30</formula>
    </cfRule>
  </conditionalFormatting>
  <conditionalFormatting sqref="C19">
    <cfRule type="cellIs" dxfId="0" priority="18" stopIfTrue="1" operator="notBetween">
      <formula>2</formula>
      <formula>5</formula>
    </cfRule>
  </conditionalFormatting>
  <hyperlinks>
    <hyperlink ref="G2" r:id="rId1"/>
    <hyperlink ref="E2" r:id="rId2"/>
    <hyperlink ref="B62" r:id="rId3"/>
    <hyperlink ref="C62" r:id="rId4"/>
    <hyperlink ref="B63" r:id="rId5"/>
    <hyperlink ref="B64" r:id="rId6"/>
    <hyperlink ref="E23" r:id="rId7"/>
    <hyperlink ref="E23:G23" location="'PTFE TUBING'!A1" display="PTFE SPAGHETTIS TEFLON"/>
  </hyperlinks>
  <printOptions horizontalCentered="1" verticalCentered="1"/>
  <pageMargins left="0.39370078740157483" right="0.39370078740157483" top="0.39370078740157483" bottom="0.39370078740157483" header="0" footer="0"/>
  <pageSetup paperSize="9" scale="57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12"/>
  </sheetPr>
  <dimension ref="A1"/>
  <sheetViews>
    <sheetView view="pageBreakPreview" zoomScaleNormal="100" workbookViewId="0"/>
  </sheetViews>
  <sheetFormatPr baseColWidth="10" defaultRowHeight="15" x14ac:dyDescent="0.25"/>
  <cols>
    <col min="9" max="9" width="6.140625" customWidth="1"/>
  </cols>
  <sheetData/>
  <sheetProtection sheet="1" formatCells="0" formatColumns="0" formatRows="0" insertColumns="0" insertRows="0" insertHyperlinks="0" deleteColumns="0" deleteRows="0" sort="0" autoFilter="0" pivotTables="0"/>
  <phoneticPr fontId="5" type="noConversion"/>
  <pageMargins left="0.78740157499999996" right="0.78740157499999996" top="0.984251969" bottom="0.984251969" header="0.4921259845" footer="0.4921259845"/>
  <pageSetup paperSize="9" scale="8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 enableFormatConditionsCalculation="0">
    <tabColor indexed="17"/>
  </sheetPr>
  <dimension ref="A1:J1"/>
  <sheetViews>
    <sheetView workbookViewId="0">
      <selection sqref="A1:J1"/>
    </sheetView>
  </sheetViews>
  <sheetFormatPr baseColWidth="10" defaultRowHeight="15" x14ac:dyDescent="0.25"/>
  <cols>
    <col min="10" max="10" width="14.28515625" customWidth="1"/>
  </cols>
  <sheetData>
    <row r="1" spans="1:10" x14ac:dyDescent="0.25">
      <c r="A1" s="96" t="s">
        <v>74</v>
      </c>
      <c r="B1" s="97"/>
      <c r="C1" s="97"/>
      <c r="D1" s="97"/>
      <c r="E1" s="97"/>
      <c r="F1" s="97"/>
      <c r="G1" s="97"/>
      <c r="H1" s="97"/>
      <c r="I1" s="97"/>
      <c r="J1" s="97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J1"/>
  </mergeCells>
  <phoneticPr fontId="5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tabColor indexed="41"/>
  </sheetPr>
  <dimension ref="A1"/>
  <sheetViews>
    <sheetView zoomScaleNormal="100" workbookViewId="0"/>
  </sheetViews>
  <sheetFormatPr baseColWidth="10" defaultRowHeight="15" x14ac:dyDescent="0.25"/>
  <cols>
    <col min="13" max="13" width="10" customWidth="1"/>
  </cols>
  <sheetData/>
  <sheetProtection sheet="1" formatCells="0" formatColumns="0" formatRows="0" insertColumns="0" insertRows="0" insertHyperlinks="0" deleteColumns="0" deleteRows="0" sort="0" autoFilter="0" pivotTables="0"/>
  <phoneticPr fontId="5" type="noConversion"/>
  <pageMargins left="0.78740157499999996" right="0.78740157499999996" top="0.984251969" bottom="0.984251969" header="0.4921259845" footer="0.4921259845"/>
  <pageSetup paperSize="9" scale="57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REVISIONS</vt:lpstr>
      <vt:lpstr>DESIGN 43, 77 &amp; 61</vt:lpstr>
      <vt:lpstr>PTFE WIRES</vt:lpstr>
      <vt:lpstr>PTFE TUBING</vt:lpstr>
      <vt:lpstr>MEASUREMENTS</vt:lpstr>
      <vt:lpstr>'DESIGN 43, 77 &amp; 61'!Zone_d_impression</vt:lpstr>
      <vt:lpstr>MEASUREMENTS!Zone_d_impression</vt:lpstr>
      <vt:lpstr>'PTFE TUBING'!Zone_d_impression</vt:lpstr>
      <vt:lpstr>'PTFE WIRES'!Zone_d_impression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Van Nieuwenhoven</dc:creator>
  <cp:lastModifiedBy>Jean Van Nieuwenhoven</cp:lastModifiedBy>
  <cp:lastPrinted>2011-02-04T10:24:23Z</cp:lastPrinted>
  <dcterms:created xsi:type="dcterms:W3CDTF">2008-08-28T11:30:56Z</dcterms:created>
  <dcterms:modified xsi:type="dcterms:W3CDTF">2019-02-07T08:40:33Z</dcterms:modified>
</cp:coreProperties>
</file>